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JAEN\"/>
    </mc:Choice>
  </mc:AlternateContent>
  <workbookProtection workbookAlgorithmName="SHA-512" workbookHashValue="nQ+nYxZq1IfBooYGXfBAG5LulyYSkqdusc+CZ/cpWS40hyTAsJCsCkxZORqotwuU6yY09xWqgriVWfze1wEUfw==" workbookSaltValue="Zp7KqhFUAFYKEbcXUQICug=="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G16" i="13" s="1"/>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8" i="2" s="1"/>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8" i="2" s="1"/>
  <c r="N12" i="2"/>
  <c r="N11" i="2"/>
  <c r="N10" i="2"/>
  <c r="N9" i="2"/>
  <c r="M17" i="2"/>
  <c r="M16" i="2"/>
  <c r="M18" i="2" s="1"/>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E9" i="13" s="1"/>
  <c r="BA9" i="13"/>
  <c r="AY9" i="13"/>
  <c r="BC12" i="13"/>
  <c r="BC11" i="13"/>
  <c r="BC10" i="13"/>
  <c r="BB10" i="13"/>
  <c r="BE10" i="13" s="1"/>
  <c r="BA10" i="13"/>
  <c r="AZ10" i="13"/>
  <c r="BG10" i="13" s="1"/>
  <c r="AY10" i="13"/>
  <c r="BC9" i="13"/>
  <c r="BC17" i="13"/>
  <c r="BB17" i="13"/>
  <c r="BB18" i="13" s="1"/>
  <c r="BA17" i="13"/>
  <c r="AZ17" i="13"/>
  <c r="AZ18" i="13" s="1"/>
  <c r="AY17" i="13"/>
  <c r="BC16" i="13"/>
  <c r="BF16" i="13" s="1"/>
  <c r="BC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H10" i="2"/>
  <c r="ES19" i="8"/>
  <c r="BH19" i="13"/>
  <c r="EP19" i="8"/>
  <c r="ER19" i="13"/>
  <c r="AL13" i="16"/>
  <c r="AJ13" i="16"/>
  <c r="EP19" i="19"/>
  <c r="S13" i="16"/>
  <c r="P13" i="16"/>
  <c r="AM13" i="20"/>
  <c r="M13" i="2"/>
  <c r="N13" i="2"/>
  <c r="T13" i="12"/>
  <c r="T13" i="16"/>
  <c r="T13" i="20"/>
  <c r="BF15" i="8"/>
  <c r="AU18" i="21"/>
  <c r="AH13" i="16"/>
  <c r="AP13" i="16"/>
  <c r="T18" i="17"/>
  <c r="BG15" i="13"/>
  <c r="BE15" i="13"/>
  <c r="AX20" i="20"/>
  <c r="AL16" i="11" l="1"/>
  <c r="C16" i="6"/>
  <c r="S19" i="8"/>
  <c r="R8" i="9"/>
  <c r="BD15" i="13"/>
  <c r="BE16" i="13"/>
  <c r="BF9" i="8"/>
  <c r="AB13" i="21"/>
  <c r="X12" i="21"/>
  <c r="T9" i="11"/>
  <c r="BF11" i="11"/>
  <c r="BH11" i="16"/>
  <c r="BL9" i="11"/>
  <c r="BH17" i="16"/>
  <c r="BG10" i="11"/>
  <c r="BM16" i="11"/>
  <c r="P17" i="17"/>
  <c r="BL17" i="11"/>
  <c r="BK12" i="11"/>
  <c r="BF10" i="11"/>
  <c r="BK9" i="11"/>
  <c r="X11" i="17"/>
  <c r="BK11" i="11"/>
  <c r="V11" i="11"/>
  <c r="AP10" i="21"/>
  <c r="BM12" i="11"/>
  <c r="BH9" i="11"/>
  <c r="BI15" i="11"/>
  <c r="BJ15" i="11"/>
  <c r="BJ12" i="11"/>
  <c r="AP15" i="20"/>
  <c r="BG15" i="11"/>
  <c r="R17" i="20"/>
  <c r="R18" i="20" s="1"/>
  <c r="BK17" i="11"/>
  <c r="AZ9" i="11"/>
  <c r="AP17" i="20"/>
  <c r="AZ15" i="11"/>
  <c r="AZ18" i="11" s="1"/>
  <c r="BU11" i="17"/>
  <c r="BV17" i="16"/>
  <c r="BU10" i="17"/>
  <c r="BV12" i="16"/>
  <c r="BW12" i="20"/>
  <c r="BV11" i="16"/>
  <c r="BW11" i="20"/>
  <c r="U10" i="17"/>
  <c r="BW10" i="20"/>
  <c r="V12" i="16"/>
  <c r="BU16" i="17"/>
  <c r="BV9" i="16"/>
  <c r="AA17" i="16"/>
  <c r="AZ12" i="11"/>
  <c r="T16" i="11"/>
  <c r="BG12" i="11"/>
  <c r="Q17" i="17"/>
  <c r="BH10" i="11"/>
  <c r="BI9" i="11"/>
  <c r="AQ10" i="21"/>
  <c r="S10" i="17"/>
  <c r="BH10" i="16"/>
  <c r="Q15" i="17"/>
  <c r="BM17" i="11"/>
  <c r="BF15" i="11"/>
  <c r="BH16" i="11"/>
  <c r="AQ12" i="21"/>
  <c r="BJ16" i="11"/>
  <c r="BL16" i="11"/>
  <c r="L10" i="2"/>
  <c r="L15" i="2"/>
  <c r="L16" i="2"/>
  <c r="X10" i="21"/>
  <c r="U9" i="17"/>
  <c r="U19" i="17" s="1"/>
  <c r="L9" i="2"/>
  <c r="V9" i="16"/>
  <c r="AP16" i="20"/>
  <c r="BH9" i="16"/>
  <c r="V15" i="11"/>
  <c r="BJ17" i="11"/>
  <c r="BH15" i="11"/>
  <c r="BH15" i="16"/>
  <c r="Q17" i="20"/>
  <c r="Q18" i="20" s="1"/>
  <c r="V11" i="16"/>
  <c r="BF17" i="11"/>
  <c r="BF16" i="11"/>
  <c r="S17" i="16"/>
  <c r="BL12" i="11"/>
  <c r="V12" i="21"/>
  <c r="V17" i="16"/>
  <c r="BK15" i="11"/>
  <c r="S9" i="17"/>
  <c r="AZ17" i="11"/>
  <c r="BI10" i="11"/>
  <c r="V10" i="16"/>
  <c r="L17" i="2"/>
  <c r="S16" i="17"/>
  <c r="S15" i="17"/>
  <c r="BK10" i="11"/>
  <c r="BM9" i="11"/>
  <c r="BG16" i="11"/>
  <c r="BK16" i="11"/>
  <c r="BL10" i="11"/>
  <c r="BF12" i="11"/>
  <c r="S15" i="16"/>
  <c r="AZ11" i="11"/>
  <c r="S11" i="17"/>
  <c r="BV10" i="16"/>
  <c r="BW15" i="20"/>
  <c r="BW16" i="20"/>
  <c r="BW17" i="20"/>
  <c r="BU15" i="17"/>
  <c r="T17" i="16"/>
  <c r="BH17" i="11"/>
  <c r="BG9" i="11"/>
  <c r="R10" i="21"/>
  <c r="R13" i="21" s="1"/>
  <c r="R19" i="21" s="1"/>
  <c r="V9" i="11"/>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J18" i="2" s="1"/>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BJ11" i="11" l="1"/>
  <c r="BL11" i="11"/>
  <c r="T15" i="16"/>
  <c r="BV16" i="16"/>
  <c r="BU9" i="17"/>
  <c r="BU12" i="17"/>
  <c r="AZ16" i="11"/>
  <c r="P15" i="17"/>
  <c r="P18" i="17" s="1"/>
  <c r="P19" i="17" s="1"/>
  <c r="BJ10" i="11"/>
  <c r="S17" i="17"/>
  <c r="X15" i="16"/>
  <c r="X18" i="16" s="1"/>
  <c r="BI17" i="11"/>
  <c r="BM15" i="11"/>
  <c r="BV15" i="16"/>
  <c r="BU17" i="17"/>
  <c r="BL15" i="11"/>
  <c r="BH12" i="16"/>
  <c r="Q10" i="21"/>
  <c r="BW9" i="20"/>
  <c r="X17" i="17"/>
  <c r="BH11" i="11"/>
  <c r="L12" i="2"/>
  <c r="I11" i="12"/>
  <c r="AZ13" i="11"/>
  <c r="AZ19" i="11"/>
  <c r="F18" i="2"/>
  <c r="S19" i="19"/>
  <c r="AA19" i="19"/>
  <c r="AI19" i="19"/>
  <c r="CL19" i="19"/>
  <c r="AB21" i="21"/>
  <c r="BE18" i="19"/>
  <c r="BE13" i="19"/>
  <c r="M19" i="19"/>
  <c r="AC19" i="19"/>
  <c r="AK19" i="19"/>
  <c r="AS19" i="19"/>
  <c r="AP18" i="20"/>
  <c r="AJ19" i="19"/>
  <c r="AP19" i="19"/>
  <c r="Q19" i="19"/>
  <c r="X19" i="19"/>
  <c r="AF19" i="19"/>
  <c r="AN19" i="19"/>
  <c r="AM19" i="19"/>
  <c r="BI19" i="19"/>
  <c r="AY19" i="19"/>
  <c r="AG13" i="21"/>
  <c r="AG19" i="21" s="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N19" i="21" s="1"/>
  <c r="O13" i="21"/>
  <c r="AL13" i="21"/>
  <c r="AL21" i="21" s="1"/>
  <c r="AN13" i="21"/>
  <c r="AN19" i="21" s="1"/>
  <c r="AY13" i="21"/>
  <c r="BA21" i="21"/>
  <c r="BL11" i="16"/>
  <c r="C17" i="14"/>
  <c r="K17" i="14" s="1"/>
  <c r="G9" i="12"/>
  <c r="AE13" i="11"/>
  <c r="AS13" i="11"/>
  <c r="AS18" i="11"/>
  <c r="E13" i="11"/>
  <c r="AH13" i="11"/>
  <c r="AH18" i="11"/>
  <c r="F15" i="11"/>
  <c r="AQ15" i="11" s="1"/>
  <c r="F17" i="11"/>
  <c r="AQ17" i="11" s="1"/>
  <c r="F9" i="11"/>
  <c r="AQ9" i="11" s="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3" i="6"/>
  <c r="H13" i="2"/>
  <c r="AL13" i="11"/>
  <c r="W13" i="11"/>
  <c r="F13" i="12" s="1"/>
  <c r="C18" i="6"/>
  <c r="D18" i="3"/>
  <c r="E18" i="3" s="1"/>
  <c r="AL18" i="11"/>
  <c r="B18" i="6"/>
  <c r="U12" i="17"/>
  <c r="W13" i="16"/>
  <c r="M19" i="8"/>
  <c r="F19" i="7" s="1"/>
  <c r="F18" i="7"/>
  <c r="AX19" i="21"/>
  <c r="G19" i="21"/>
  <c r="G21" i="21"/>
  <c r="G20" i="21"/>
  <c r="BD21" i="21"/>
  <c r="AT18"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BC18" i="8"/>
  <c r="AZ18" i="8"/>
  <c r="BE18" i="13"/>
  <c r="BB19" i="13"/>
  <c r="AQ16" i="17"/>
  <c r="AG18" i="11"/>
  <c r="AG21" i="11" s="1"/>
  <c r="AK18" i="11"/>
  <c r="E13" i="14"/>
  <c r="U13" i="17"/>
  <c r="BV13" i="16"/>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AV20" i="21"/>
  <c r="U17" i="11"/>
  <c r="T20" i="20"/>
  <c r="AI19" i="11" l="1"/>
  <c r="AO13" i="17"/>
  <c r="D19" i="12"/>
  <c r="G19" i="7"/>
  <c r="AL19" i="21"/>
  <c r="BF13" i="8"/>
  <c r="BE13" i="8"/>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H20" i="11"/>
  <c r="AI20" i="16"/>
  <c r="BH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BA20" i="16"/>
  <c r="O12" i="11"/>
  <c r="BD19" i="8" l="1"/>
  <c r="F21" i="1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<sst xmlns="http://schemas.openxmlformats.org/spreadsheetml/2006/main" count="2102" uniqueCount="918">
  <si>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</si>
  <si>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</si>
  <si>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</si>
  <si>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</si>
  <si>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</si>
  <si>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</si>
  <si>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</si>
  <si>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</si>
  <si>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</si>
  <si>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</si>
  <si>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</si>
  <si>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</si>
  <si>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</si>
  <si>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</si>
  <si>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</si>
  <si>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</si>
  <si>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</si>
  <si>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</si>
  <si>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</si>
  <si>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</si>
  <si>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</si>
  <si>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</si>
  <si>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</si>
  <si>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</si>
  <si>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</si>
  <si>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</si>
  <si>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</si>
  <si>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</si>
  <si>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</si>
  <si>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</si>
  <si>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</si>
  <si>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</si>
  <si>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</si>
  <si>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</si>
  <si>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</si>
  <si>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</si>
  <si>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</si>
  <si>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</si>
  <si>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</si>
  <si>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</si>
  <si>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</si>
  <si>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</si>
  <si>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</si>
  <si>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</si>
  <si>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</si>
  <si>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</si>
  <si>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</si>
  <si>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</si>
  <si>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</si>
  <si>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</si>
  <si>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</si>
  <si>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</si>
  <si>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</si>
  <si>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</si>
  <si>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</si>
  <si>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</si>
  <si>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</si>
  <si>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</si>
  <si>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</si>
  <si>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</si>
  <si>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</si>
  <si>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</si>
  <si>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</si>
  <si>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</si>
  <si>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</si>
  <si>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</si>
  <si>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</si>
  <si>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</si>
  <si>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</si>
  <si>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</si>
  <si>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</si>
  <si>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</si>
  <si>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</si>
  <si>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</si>
  <si>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</si>
  <si>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</si>
  <si>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</si>
  <si>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</si>
  <si>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</si>
  <si>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</si>
  <si>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</si>
  <si>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</si>
  <si>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</si>
  <si>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</si>
  <si>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</si>
  <si>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</si>
  <si>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</si>
  <si>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</si>
  <si>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</si>
  <si>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</si>
  <si>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</si>
  <si>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</si>
  <si>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</si>
  <si>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</si>
  <si>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</si>
  <si>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</si>
  <si>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</si>
  <si>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</si>
  <si>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</si>
  <si>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</si>
  <si>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</si>
  <si>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</si>
  <si>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</si>
  <si>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</si>
  <si>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</si>
  <si>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</si>
  <si>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</si>
  <si>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</si>
  <si>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</si>
  <si>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</si>
  <si>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</si>
  <si>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</si>
  <si>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</si>
  <si>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</si>
  <si>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</si>
  <si>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</si>
  <si>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</si>
  <si>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</si>
  <si>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</si>
  <si>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</si>
  <si>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</si>
  <si>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</si>
  <si>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</si>
  <si>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</si>
  <si>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</si>
  <si>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</si>
  <si>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</si>
  <si>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</si>
  <si>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</si>
  <si>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</si>
  <si>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</si>
  <si>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</si>
  <si>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</si>
  <si>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</si>
  <si>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</si>
  <si>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</si>
  <si>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</si>
  <si>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</si>
  <si>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</si>
  <si>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</si>
  <si>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</si>
  <si>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</si>
  <si>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</si>
  <si>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</si>
  <si>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</si>
  <si>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</si>
  <si>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</si>
  <si>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</si>
  <si>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</si>
  <si>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</si>
  <si>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</si>
  <si>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</si>
  <si>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</si>
  <si>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</si>
  <si>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</si>
  <si>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</si>
  <si>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</si>
  <si>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</si>
  <si>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</si>
  <si>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</si>
  <si>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</si>
  <si>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</si>
  <si>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</si>
  <si>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</si>
  <si>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</si>
  <si>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</si>
  <si>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</si>
  <si>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</si>
  <si>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</si>
  <si>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</si>
  <si>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</si>
  <si>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</si>
  <si>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</si>
  <si>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</si>
  <si>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</si>
  <si>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</si>
  <si>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</si>
  <si>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</si>
  <si>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</si>
  <si>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</si>
  <si>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</si>
  <si>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</si>
  <si>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</si>
  <si>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</si>
  <si>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</si>
  <si>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</si>
  <si>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</si>
  <si>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</si>
  <si>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</si>
  <si>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</si>
  <si>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</si>
  <si>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</si>
  <si>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</si>
  <si>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</si>
  <si>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</si>
  <si>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</si>
  <si>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</si>
  <si>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</si>
  <si>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</si>
  <si>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</si>
  <si>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</si>
  <si>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</si>
  <si>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</si>
  <si>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</si>
  <si>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</si>
  <si>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</si>
  <si>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</si>
  <si>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</si>
  <si>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</si>
  <si>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</si>
  <si>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</si>
  <si>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</si>
  <si>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</si>
  <si>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</si>
  <si>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</si>
  <si>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</si>
  <si>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</si>
  <si>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</si>
  <si>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</si>
  <si>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</si>
  <si>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</si>
  <si>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</si>
  <si>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</si>
  <si>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</si>
  <si>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</si>
  <si>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</si>
  <si>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</si>
  <si>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</si>
  <si>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</si>
  <si>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</si>
  <si>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</si>
  <si>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</si>
  <si>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</si>
  <si>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</si>
  <si>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</si>
  <si>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</si>
  <si>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</si>
  <si>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</si>
  <si>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</si>
  <si>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</si>
  <si>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</si>
  <si>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</si>
  <si>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</si>
  <si>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</si>
  <si>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</si>
  <si>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</si>
  <si>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</si>
  <si>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</si>
  <si>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</si>
  <si>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</si>
  <si>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</si>
  <si>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</si>
  <si>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</si>
  <si>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</si>
  <si>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</si>
  <si>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</si>
  <si>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</si>
  <si>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</si>
  <si>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</si>
  <si>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</si>
  <si>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</si>
  <si>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</si>
  <si>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</si>
  <si>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</si>
  <si>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</si>
  <si>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</si>
  <si>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</si>
  <si>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</si>
  <si>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</si>
  <si>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</si>
  <si>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</si>
  <si>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</si>
  <si>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</si>
  <si>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</si>
  <si>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</si>
  <si>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</si>
  <si>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</si>
  <si>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</si>
  <si>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</si>
  <si>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</si>
  <si>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</si>
  <si>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</si>
  <si>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</si>
  <si>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</si>
  <si>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</si>
  <si>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</si>
  <si>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</si>
  <si>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</si>
  <si>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</si>
  <si>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</si>
  <si>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</si>
  <si>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</si>
  <si>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</si>
  <si>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</si>
  <si>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</si>
  <si>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</si>
  <si>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</si>
  <si>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</si>
  <si>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</si>
  <si>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</si>
  <si>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</si>
  <si>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</si>
  <si>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</si>
  <si>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</si>
  <si>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</si>
  <si>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</si>
  <si>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</si>
  <si>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</si>
  <si>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</si>
  <si>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</si>
  <si>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</si>
  <si>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</si>
  <si>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</si>
  <si>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</si>
  <si>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</si>
  <si>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</si>
  <si>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</si>
  <si>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</si>
  <si>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</si>
  <si>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</si>
  <si>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</si>
  <si>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</si>
  <si>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</si>
  <si>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</si>
  <si>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</si>
  <si>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</si>
  <si>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</si>
  <si>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</si>
  <si>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</si>
  <si>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</si>
  <si>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</si>
  <si>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</si>
  <si>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</si>
  <si>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</si>
  <si>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</si>
  <si>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</si>
  <si>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</si>
  <si>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</si>
  <si>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</si>
  <si>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</si>
  <si>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</si>
  <si>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</si>
  <si>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</si>
  <si>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</si>
  <si>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</si>
  <si>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</si>
  <si>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</si>
  <si>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</si>
  <si>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</si>
  <si>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</si>
  <si>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</si>
  <si>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</si>
  <si>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</si>
  <si>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</si>
  <si>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</si>
  <si>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</si>
  <si>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</si>
  <si>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</si>
  <si>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</si>
  <si>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</si>
  <si>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</si>
  <si>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</si>
  <si>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</si>
  <si>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</si>
  <si>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</si>
  <si>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</si>
  <si>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</si>
  <si>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</si>
  <si>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</si>
  <si>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</si>
  <si>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</si>
  <si>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</si>
  <si>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</si>
  <si>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</si>
  <si>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</si>
  <si>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</si>
  <si>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</si>
  <si>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</si>
  <si>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</si>
  <si>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</si>
  <si>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</si>
  <si>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</si>
  <si>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</si>
  <si>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</si>
  <si>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</si>
  <si>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</si>
  <si>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</si>
  <si>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</si>
  <si>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</si>
  <si>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</si>
  <si>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</si>
  <si>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</si>
  <si>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</si>
  <si>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</si>
  <si>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</si>
  <si>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</si>
  <si>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</si>
  <si>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</si>
  <si>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</si>
  <si>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</si>
  <si>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</si>
  <si>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</si>
  <si>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</si>
  <si>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</si>
  <si>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</si>
  <si>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</si>
  <si>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</si>
  <si>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</si>
  <si>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</si>
  <si>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</si>
  <si>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</si>
  <si>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</si>
  <si>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</si>
  <si>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</si>
  <si>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</si>
  <si>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</si>
  <si>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</si>
  <si>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</si>
  <si>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</si>
  <si>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</si>
  <si>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</si>
  <si>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</si>
  <si>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</si>
  <si>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</si>
  <si>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</si>
  <si>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</si>
  <si>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</si>
  <si>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</si>
  <si>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</si>
  <si>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</si>
  <si>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</si>
  <si>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</si>
  <si>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</si>
  <si>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</si>
  <si>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</si>
  <si>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</si>
  <si>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</si>
  <si>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</si>
  <si>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</si>
  <si>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</si>
  <si>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</si>
  <si>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</si>
  <si>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</si>
  <si>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</si>
  <si>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</si>
  <si>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</si>
  <si>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</si>
  <si>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</si>
  <si>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</si>
  <si>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</si>
  <si>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</si>
  <si>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</si>
  <si>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</si>
  <si>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</si>
  <si>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</si>
  <si>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</si>
  <si>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</si>
  <si>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</si>
  <si>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</si>
  <si>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</si>
  <si>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</si>
  <si>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</si>
  <si>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</si>
  <si>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</si>
  <si>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</si>
  <si>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</si>
  <si>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</si>
  <si>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</si>
  <si>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</si>
  <si>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</si>
  <si>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</si>
  <si>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</si>
  <si>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</si>
  <si>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</si>
  <si>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</si>
  <si>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</si>
  <si>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</si>
  <si>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</si>
  <si>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</si>
  <si>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</si>
  <si>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</si>
  <si>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</si>
  <si>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</si>
  <si>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</si>
  <si>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</si>
  <si>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</si>
  <si>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</si>
  <si>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</si>
  <si>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</si>
  <si>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</si>
  <si>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</si>
  <si>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</si>
  <si>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</si>
  <si>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</si>
  <si>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</si>
  <si>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</si>
  <si>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</si>
  <si>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</si>
  <si>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</si>
  <si>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</si>
  <si>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</si>
  <si>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</si>
  <si>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</si>
  <si>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</si>
  <si>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</si>
  <si>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</si>
  <si>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</si>
  <si>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</si>
  <si>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</si>
  <si>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</si>
  <si>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</si>
  <si>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</si>
  <si>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</si>
  <si>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</si>
  <si>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</si>
  <si>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</si>
  <si>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</si>
  <si>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</si>
  <si>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</si>
  <si>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</si>
  <si>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</si>
  <si>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</si>
  <si>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</si>
  <si>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</si>
  <si>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</si>
  <si>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</si>
  <si>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</si>
  <si>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</si>
  <si>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</si>
  <si>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</si>
  <si>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</si>
  <si>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</si>
  <si>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</si>
  <si>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</si>
  <si>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</si>
  <si>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</si>
  <si>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</si>
  <si>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</si>
  <si>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</si>
  <si>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</si>
  <si>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</si>
  <si>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</si>
  <si>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</si>
  <si>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</si>
  <si>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</si>
  <si>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</si>
  <si>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</si>
  <si>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</si>
  <si>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</si>
  <si>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</si>
  <si>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</si>
  <si>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</si>
  <si>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</si>
  <si>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</si>
  <si>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</si>
  <si>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</si>
  <si>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</si>
  <si>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</si>
  <si>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</si>
  <si>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</si>
  <si>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</si>
  <si>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</si>
  <si>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</si>
  <si>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</si>
  <si>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</si>
  <si>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</si>
  <si>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</si>
  <si>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</si>
  <si>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</si>
  <si>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</si>
  <si>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</si>
  <si>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</si>
  <si>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</si>
  <si>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</si>
  <si>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</si>
  <si>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</si>
  <si>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</si>
  <si>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</si>
  <si>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</si>
  <si>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</si>
  <si>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</si>
  <si>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</si>
  <si>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</si>
  <si>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</si>
  <si>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</si>
  <si>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</si>
  <si>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</si>
  <si>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</si>
  <si>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</si>
  <si>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</si>
  <si>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</si>
  <si>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</si>
  <si>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</si>
  <si>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</si>
  <si>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</si>
  <si>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</si>
  <si>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</si>
  <si>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</si>
  <si>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</si>
  <si>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</si>
  <si>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</si>
  <si>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</si>
  <si>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</si>
  <si>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</si>
  <si>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</si>
  <si>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</si>
  <si>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</si>
  <si>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</si>
  <si>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</si>
  <si>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</si>
  <si>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</si>
  <si>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</si>
  <si>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</si>
  <si>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</si>
  <si>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</si>
  <si>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</si>
  <si>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</si>
  <si>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</si>
  <si>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</si>
  <si>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</si>
  <si>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</si>
  <si>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</si>
  <si>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</si>
  <si>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</si>
  <si>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</si>
  <si>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</si>
  <si>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</si>
  <si>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</si>
  <si>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</si>
  <si>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</si>
  <si>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</si>
  <si>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</si>
  <si>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</si>
  <si>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</si>
  <si>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</si>
  <si>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</si>
  <si>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</si>
  <si>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</si>
  <si>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</si>
  <si>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</si>
  <si>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</si>
  <si>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</si>
  <si>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</si>
  <si>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</si>
  <si>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</si>
  <si>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</si>
  <si>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</si>
  <si>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</si>
  <si>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</si>
  <si>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</si>
  <si>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</si>
  <si>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</si>
  <si>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</si>
  <si>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</si>
  <si>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</si>
  <si>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</si>
  <si>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</si>
  <si>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</si>
  <si>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</si>
  <si>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</si>
  <si>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</si>
  <si>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</si>
  <si>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</si>
  <si>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</si>
  <si>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</si>
  <si>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</si>
  <si>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</si>
  <si>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</si>
  <si>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</si>
  <si>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</si>
  <si>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</si>
  <si>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</si>
  <si>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</si>
  <si>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</si>
  <si>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</si>
  <si>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</si>
  <si>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</si>
  <si>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</si>
  <si>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</si>
  <si>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</si>
  <si>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</si>
  <si>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</si>
  <si>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</si>
  <si>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</si>
  <si>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</si>
  <si>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</si>
  <si>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</si>
  <si>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</si>
  <si>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</si>
  <si>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</si>
  <si>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</si>
  <si>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</si>
  <si>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</si>
  <si>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</si>
  <si>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</si>
  <si>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</si>
  <si>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</si>
  <si>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</si>
  <si>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</si>
  <si>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</si>
  <si>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</si>
  <si>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</si>
  <si>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</si>
  <si>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</si>
  <si>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</si>
  <si>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</si>
  <si>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</si>
  <si>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</si>
  <si>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</si>
  <si>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</si>
  <si>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</si>
  <si>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</si>
  <si>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</si>
  <si>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</si>
  <si>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</si>
  <si>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</si>
  <si>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</si>
  <si>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</si>
  <si>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</si>
  <si>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</si>
  <si>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</si>
  <si>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</si>
  <si>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</si>
  <si>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</si>
  <si>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</si>
  <si>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</si>
  <si>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</si>
  <si>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</si>
  <si>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</si>
  <si>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</si>
  <si>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</si>
  <si>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</si>
  <si>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</si>
  <si>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</si>
  <si>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</si>
  <si>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</si>
  <si>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</si>
  <si>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</si>
  <si>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</si>
  <si>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</si>
  <si>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</si>
  <si>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</si>
  <si>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</si>
  <si>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</si>
  <si>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</si>
  <si>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</si>
  <si>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</si>
  <si>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</si>
  <si>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</si>
  <si>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</si>
  <si>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</si>
  <si>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</si>
  <si>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</si>
  <si>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</si>
  <si>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</si>
  <si>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</si>
  <si>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</si>
  <si>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</si>
  <si>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</si>
  <si>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</si>
  <si>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</si>
  <si>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</si>
  <si>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</si>
  <si>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</si>
  <si>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</si>
  <si>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</si>
  <si>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</si>
  <si>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</si>
  <si>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</si>
  <si>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</si>
  <si>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</si>
  <si>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</si>
  <si>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</si>
  <si>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</si>
  <si>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</si>
  <si>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</si>
  <si>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</si>
  <si>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</si>
  <si>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</si>
  <si>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</si>
  <si>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</si>
  <si>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</si>
  <si>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</si>
  <si>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</si>
  <si>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</si>
  <si>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</si>
  <si>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</si>
  <si>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</si>
  <si>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</si>
  <si>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</si>
  <si>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</si>
  <si>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</si>
  <si>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</si>
  <si>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</si>
  <si>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</si>
  <si>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</si>
  <si>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</si>
  <si>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</si>
  <si>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</si>
  <si>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</si>
  <si>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</si>
  <si>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</si>
  <si>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</si>
  <si>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</si>
  <si>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</si>
  <si>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</si>
  <si>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</si>
  <si>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</si>
  <si>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</si>
  <si>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</si>
  <si>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</si>
  <si>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</si>
  <si>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</si>
  <si>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</si>
  <si>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</si>
  <si>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</si>
  <si>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</si>
  <si>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</si>
  <si>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</si>
  <si>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</si>
  <si>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</si>
  <si>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</si>
  <si>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</si>
  <si>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</si>
  <si>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</si>
  <si>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</si>
  <si>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</si>
  <si>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</si>
  <si>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</si>
  <si>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</si>
  <si>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</si>
  <si>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</si>
  <si>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</si>
  <si>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</si>
  <si>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</si>
  <si>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</si>
  <si>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</si>
  <si>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</si>
  <si>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</si>
  <si>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</si>
  <si>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</si>
  <si>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</si>
  <si>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</si>
  <si>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</si>
  <si>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</si>
  <si>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</si>
  <si>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</si>
  <si>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</si>
  <si>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</si>
  <si>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</si>
  <si>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</si>
  <si>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</si>
  <si>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</si>
  <si>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</si>
  <si>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</si>
  <si>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</si>
  <si>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</si>
  <si>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</si>
  <si>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</si>
  <si>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</si>
  <si>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</si>
  <si>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</si>
  <si>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</si>
  <si>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</si>
  <si>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</si>
  <si>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</si>
  <si>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</si>
  <si>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</si>
  <si>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</si>
  <si>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</si>
  <si>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</si>
  <si>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</si>
  <si>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</si>
  <si>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</si>
  <si>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</si>
  <si>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</si>
  <si>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</si>
  <si>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</si>
  <si>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</si>
  <si>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</si>
  <si>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</si>
  <si>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</si>
  <si>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</si>
  <si>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</si>
  <si>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</si>
  <si>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</si>
  <si>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</si>
  <si>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</si>
  <si>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</si>
  <si>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</si>
  <si>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</si>
  <si>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</si>
  <si>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</si>
  <si>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</si>
  <si>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</si>
  <si>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</si>
  <si>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</si>
  <si>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</si>
  <si>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</si>
  <si>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</si>
  <si>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</si>
  <si>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</si>
  <si>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</si>
  <si>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</si>
  <si>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</si>
  <si>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</si>
  <si>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</si>
  <si>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</si>
  <si>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</si>
  <si>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</si>
  <si>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</si>
  <si>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28 feb. 2025</t>
  </si>
  <si>
    <t>Tribunales de Justicia</t>
  </si>
  <si>
    <t>ANDALUCIA</t>
  </si>
  <si>
    <t>Provincias</t>
  </si>
  <si>
    <t>JAEN</t>
  </si>
  <si>
    <t>Resumenes por Partidos Judiciales</t>
  </si>
  <si>
    <t>BAEZA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</si>
</sst>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1</v>
      </c>
      <c r="E5" s="372"/>
      <c r="F5" s="3"/>
      <c r="H5" t="s">
        <v>424</v>
      </c>
      <c r="Q5" s="346">
        <v>3</v>
      </c>
      <c r="R5" s="346">
        <v>2</v>
      </c>
      <c r="S5" t="b">
        <f>AND(Q5&gt;=TrimIni,Q5&lt;=TrimFin)</f>
        <v>1</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1</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5dVjecPPGlnYBwidmlf9o+BgJu6Bu3rJHprQBgnZRpwcnAvzL8FDvdPkRUQHzAaSAJzL9hkVXwic6Xo/JGX5RA==" saltValue="Ou8e/WzbVT+PgRmoLRmkaQ=="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ANDALUCIA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1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10</v>
      </c>
      <c r="D10" s="225">
        <f>IF(ISNUMBER(Datos!I10),Datos!I10," - ")</f>
        <v>8</v>
      </c>
      <c r="E10" s="226">
        <f>IF(ISNUMBER(Datos!J10),Datos!J10," - ")</f>
        <v>2</v>
      </c>
      <c r="F10" s="226">
        <f>IF(ISNUMBER(Datos!K10),Datos!K10," - ")</f>
        <v>6</v>
      </c>
      <c r="G10" s="1034" t="str">
        <f>IF(Datos!E10&lt;&gt;"",Datos!E10,Datos!D10)</f>
        <v>37</v>
      </c>
      <c r="H10" s="227">
        <f>IF(ISNUMBER(Datos!L10),Datos!L10," - ")</f>
        <v>6</v>
      </c>
      <c r="I10" s="1044" t="str">
        <f>IF(ISNUMBER(Datos!AS10/Datos!BM10),Datos!AS10/Datos!BM10," - ")</f>
        <v xml:space="preserve"> - </v>
      </c>
      <c r="J10" s="1045">
        <f>IF(ISNUMBER(Datos!BY10/Datos!CN10),Datos!BY10/Datos!CN10," - ")</f>
        <v>0</v>
      </c>
      <c r="K10" s="230">
        <f t="shared" ref="K10:K12" si="1">IF(ISNUMBER((E10-F10)/C10),(E10-F10)/C10," - ")</f>
        <v>-0.4</v>
      </c>
      <c r="L10" s="1025">
        <f>IF(ISNUMBER(NºAsuntos!I10/NºAsuntos!G10),(NºAsuntos!I10/NºAsuntos!G10)*11," - ")</f>
        <v>11</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1</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7.42691415313225</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10</v>
      </c>
      <c r="D13" s="1049">
        <f>SUBTOTAL(9,D9:D12)</f>
        <v>8</v>
      </c>
      <c r="E13" s="1050">
        <f>SUBTOTAL(9,E9:E12)</f>
        <v>2</v>
      </c>
      <c r="F13" s="1051">
        <f>SUBTOTAL(9,F9:F12)</f>
        <v>6</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1</v>
      </c>
      <c r="B16" s="502" t="str">
        <f>Datos!A16</f>
        <v xml:space="preserve">Jdos. 1ª Instª. e Instr.                        </v>
      </c>
      <c r="C16" s="225">
        <f t="shared" si="2"/>
        <v>124</v>
      </c>
      <c r="D16" s="225">
        <f>IF(ISNUMBER(IF(D_I="SI",Datos!I16,Datos!I16+Datos!AC16)),IF(D_I="SI",Datos!I16,Datos!I16+Datos!AC16)," - ")</f>
        <v>179</v>
      </c>
      <c r="E16" s="226">
        <f>IF(ISNUMBER(IF(D_I="SI",Datos!J16,Datos!J16+Datos!AD16)),IF(D_I="SI",Datos!J16,Datos!J16+Datos!AD16)," - ")</f>
        <v>1184</v>
      </c>
      <c r="F16" s="226">
        <f>IF(ISNUMBER(IF(D_I="SI",Datos!K16,Datos!K16+Datos!AE16)),IF(D_I="SI",Datos!K16,Datos!K16+Datos!AE16)," - ")</f>
        <v>1141</v>
      </c>
      <c r="G16" s="1034" t="str">
        <f>IF(Datos!E16&lt;&gt;"",Datos!E16,Datos!D16)</f>
        <v>04</v>
      </c>
      <c r="H16" s="227">
        <f>IF(ISNUMBER(IF(D_I="SI",Datos!L16,Datos!L16+Datos!AF16)),IF(D_I="SI",Datos!L16,Datos!L16+Datos!AF16)," - ")</f>
        <v>167</v>
      </c>
      <c r="I16" s="1044" t="str">
        <f>IF(ISNUMBER(Datos!AS16/Datos!BM16),Datos!AS16/Datos!BM16," - ")</f>
        <v xml:space="preserve"> - </v>
      </c>
      <c r="J16" s="1045">
        <f>IF(ISNUMBER(Datos!BY16/Datos!CN16),Datos!BY16/Datos!CN16," - ")</f>
        <v>0</v>
      </c>
      <c r="K16" s="230">
        <f t="shared" si="3"/>
        <v>0.34677419354838712</v>
      </c>
      <c r="L16" s="1025">
        <f>IF(ISNUMBER(NºAsuntos!I16/NºAsuntos!G16),(NºAsuntos!I16/NºAsuntos!G16)*11," - ")</f>
        <v>1.6099912357581068</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14</v>
      </c>
      <c r="D17" s="225">
        <f>IF(ISNUMBER(IF(D_I="SI",Datos!I17,Datos!I17+Datos!AC17)),IF(D_I="SI",Datos!I17,Datos!I17+Datos!AC17)," - ")</f>
        <v>13</v>
      </c>
      <c r="E17" s="226">
        <f>IF(ISNUMBER(IF(D_I="SI",Datos!J17,Datos!J17+Datos!AD17)),IF(D_I="SI",Datos!J17,Datos!J17+Datos!AD17)," - ")</f>
        <v>77</v>
      </c>
      <c r="F17" s="226">
        <f>IF(ISNUMBER(IF(D_I="SI",Datos!K17,Datos!K17+Datos!AE17)),IF(D_I="SI",Datos!K17,Datos!K17+Datos!AE17)," - ")</f>
        <v>71</v>
      </c>
      <c r="G17" s="1034" t="str">
        <f>IF(Datos!E17&lt;&gt;"",Datos!E17,Datos!D17)</f>
        <v>37</v>
      </c>
      <c r="H17" s="227">
        <f>IF(ISNUMBER(IF(D_I="SI",Datos!L17,Datos!L17+Datos!AF17)),IF(D_I="SI",Datos!L17,Datos!L17+Datos!AF17)," - ")</f>
        <v>20</v>
      </c>
      <c r="I17" s="1044" t="str">
        <f>IF(ISNUMBER(Datos!AS17/Datos!BM17),Datos!AS17/Datos!BM17," - ")</f>
        <v xml:space="preserve"> - </v>
      </c>
      <c r="J17" s="1045" t="str">
        <f>IF(ISNUMBER((Datos!BY17+Datos!BZ17)/Datos!CN17),(Datos!BY17+Datos!BZ17)/Datos!CN17," - ")</f>
        <v xml:space="preserve"> - </v>
      </c>
      <c r="K17" s="230">
        <f t="shared" si="3"/>
        <v>0.42857142857142855</v>
      </c>
      <c r="L17" s="1025">
        <f>IF(ISNUMBER(NºAsuntos!I17/NºAsuntos!G17),(NºAsuntos!I17/NºAsuntos!G17)*11," - ")</f>
        <v>3.098591549295775</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138</v>
      </c>
      <c r="D18" s="1049">
        <f>SUBTOTAL(9,D15:D17)</f>
        <v>192</v>
      </c>
      <c r="E18" s="1050">
        <f>SUBTOTAL(9,E15:E17)</f>
        <v>1261</v>
      </c>
      <c r="F18" s="1050">
        <f>SUBTOTAL(9,F15:F17)</f>
        <v>1212</v>
      </c>
      <c r="G18" s="1052" t="str">
        <f ca="1">INDIRECT(CONCATENATE("G",ROW()-1))</f>
        <v>37</v>
      </c>
      <c r="H18" s="1053">
        <f ca="1">SUMIF(G$14:G17,G18,H$14:H17)</f>
        <v>20</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148</v>
      </c>
      <c r="D19" s="1071">
        <f>SUBTOTAL(9,D9:D18)</f>
        <v>200</v>
      </c>
      <c r="E19" s="1072">
        <f>SUBTOTAL(9,E9:E18)</f>
        <v>1263</v>
      </c>
      <c r="F19" s="1072">
        <f>SUBTOTAL(9,F9:F18)</f>
        <v>1218</v>
      </c>
      <c r="G19" s="1073"/>
      <c r="H19" s="1074">
        <f ca="1">SUMIF(B9:B18,"TOTAL",H9:H18)</f>
        <v>20</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28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6o+Xd6e9rkAa9rsXqGsUqaQrhCCm5job8bxEenyyiuwrS/7jE3cr7gHyOvML2b4pJK/WqH5NKyqhp/8xzTVImw==" saltValue="8aUuiltOZbG6RWuzpkpSvA=="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8D/yF+dUcKjWmCDRNOqzGkhsl2pHZKiJZzEX8n25DiqTbxRKz0hdVryOvZTy5GInxaSj/BEQ2rje+1blO8jIEw==" saltValue="YRiSY2RuP4lEtjWuHgxdrw=="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JAEN</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8</v>
      </c>
      <c r="J10" s="181">
        <v>2</v>
      </c>
      <c r="K10" s="181">
        <v>6</v>
      </c>
      <c r="L10" s="181">
        <v>6</v>
      </c>
      <c r="M10" s="181">
        <v>2</v>
      </c>
      <c r="N10" s="181">
        <v>0</v>
      </c>
      <c r="O10" s="181">
        <v>0</v>
      </c>
      <c r="P10" s="181">
        <v>0</v>
      </c>
      <c r="Q10" s="181">
        <v>0</v>
      </c>
      <c r="R10" s="181">
        <v>0</v>
      </c>
      <c r="S10" s="181">
        <v>2</v>
      </c>
      <c r="T10" s="181">
        <v>17</v>
      </c>
      <c r="U10" s="181">
        <v>11</v>
      </c>
      <c r="V10" s="181">
        <v>8</v>
      </c>
      <c r="W10" s="181">
        <v>1</v>
      </c>
      <c r="X10" s="188">
        <v>4</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2</v>
      </c>
      <c r="AZ10" s="129">
        <f t="shared" si="0"/>
        <v>17</v>
      </c>
      <c r="BA10" s="129">
        <f t="shared" si="0"/>
        <v>11</v>
      </c>
      <c r="BB10" s="129">
        <f t="shared" si="0"/>
        <v>8</v>
      </c>
      <c r="BC10" s="125">
        <f t="shared" si="0"/>
        <v>1</v>
      </c>
      <c r="BD10" s="126">
        <f>IF(ISNUMBER(BA10/AZ10),BA10/AZ10," - ")</f>
        <v>0.6470588235294118</v>
      </c>
      <c r="BE10" s="127">
        <f>IF(ISNUMBER(BB10/BA10),BB10/BA10, " - ")</f>
        <v>0.72727272727272729</v>
      </c>
      <c r="BF10" s="127">
        <f>IF(ISNUMBER(BC10/BA10),BC10/BA10, " - ")</f>
        <v>9.0909090909090912E-2</v>
      </c>
      <c r="BG10" s="196">
        <f>IF(ISNUMBER((AY10+AZ10)/BA10),(AY10+AZ10)/BA10," - ")</f>
        <v>1.7272727272727273</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459</v>
      </c>
      <c r="J12" s="183">
        <v>886</v>
      </c>
      <c r="K12" s="183">
        <v>785</v>
      </c>
      <c r="L12" s="183">
        <v>573</v>
      </c>
      <c r="M12" s="183">
        <v>286</v>
      </c>
      <c r="N12" s="183">
        <v>248</v>
      </c>
      <c r="O12" s="181">
        <v>373</v>
      </c>
      <c r="P12" s="183">
        <v>194</v>
      </c>
      <c r="Q12" s="183">
        <v>223</v>
      </c>
      <c r="R12" s="183">
        <v>364</v>
      </c>
      <c r="S12" s="183">
        <v>315</v>
      </c>
      <c r="T12" s="183">
        <v>769</v>
      </c>
      <c r="U12" s="183">
        <v>780</v>
      </c>
      <c r="V12" s="183">
        <v>459</v>
      </c>
      <c r="W12" s="183">
        <v>235</v>
      </c>
      <c r="X12" s="189">
        <v>250</v>
      </c>
      <c r="Y12" s="191">
        <v>25</v>
      </c>
      <c r="Z12" s="181">
        <v>61</v>
      </c>
      <c r="AA12" s="181">
        <v>77</v>
      </c>
      <c r="AB12" s="181">
        <v>9</v>
      </c>
      <c r="AC12" s="183">
        <v>0</v>
      </c>
      <c r="AD12" s="183">
        <v>0</v>
      </c>
      <c r="AE12" s="183">
        <v>0</v>
      </c>
      <c r="AF12" s="189">
        <v>0</v>
      </c>
      <c r="AG12" s="202">
        <v>13</v>
      </c>
      <c r="AH12" s="183">
        <v>90</v>
      </c>
      <c r="AI12" s="183">
        <v>82</v>
      </c>
      <c r="AJ12" s="203">
        <v>25</v>
      </c>
      <c r="AK12" s="182">
        <v>0</v>
      </c>
      <c r="AL12" s="183">
        <v>0</v>
      </c>
      <c r="AM12" s="183">
        <v>0</v>
      </c>
      <c r="AN12" s="189">
        <v>0</v>
      </c>
      <c r="AO12" s="259">
        <v>1</v>
      </c>
      <c r="AP12" s="155">
        <v>1</v>
      </c>
      <c r="AQ12" s="155">
        <v>1</v>
      </c>
      <c r="AR12" s="154">
        <v>1</v>
      </c>
      <c r="AS12" s="340" t="s">
        <v>802</v>
      </c>
      <c r="AT12" s="203"/>
      <c r="AU12" s="202"/>
      <c r="AV12" s="203"/>
      <c r="AW12" s="202"/>
      <c r="AX12" s="203"/>
      <c r="AY12" s="126">
        <f t="shared" si="1"/>
        <v>328</v>
      </c>
      <c r="AZ12" s="127">
        <f t="shared" si="1"/>
        <v>859</v>
      </c>
      <c r="BA12" s="127">
        <f t="shared" si="1"/>
        <v>862</v>
      </c>
      <c r="BB12" s="127">
        <f t="shared" si="1"/>
        <v>484</v>
      </c>
      <c r="BC12" s="125">
        <f>IF(ISNUMBER(X12),X12," - ")</f>
        <v>250</v>
      </c>
      <c r="BD12" s="126">
        <f t="shared" si="2"/>
        <v>1.0034924330616997</v>
      </c>
      <c r="BE12" s="127">
        <f t="shared" si="3"/>
        <v>0.56148491879350348</v>
      </c>
      <c r="BF12" s="127">
        <f t="shared" si="4"/>
        <v>0.29002320185614849</v>
      </c>
      <c r="BG12" s="196">
        <f t="shared" si="5"/>
        <v>1.377030162412993</v>
      </c>
      <c r="BH12" s="155">
        <v>1</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467</v>
      </c>
      <c r="J13" s="184">
        <f t="shared" si="6"/>
        <v>888</v>
      </c>
      <c r="K13" s="184">
        <f t="shared" si="6"/>
        <v>791</v>
      </c>
      <c r="L13" s="184">
        <f t="shared" si="6"/>
        <v>579</v>
      </c>
      <c r="M13" s="184">
        <f t="shared" si="6"/>
        <v>288</v>
      </c>
      <c r="N13" s="184">
        <f t="shared" si="6"/>
        <v>248</v>
      </c>
      <c r="O13" s="184">
        <f t="shared" si="6"/>
        <v>373</v>
      </c>
      <c r="P13" s="184">
        <f t="shared" si="6"/>
        <v>194</v>
      </c>
      <c r="Q13" s="184">
        <f t="shared" si="6"/>
        <v>223</v>
      </c>
      <c r="R13" s="184">
        <f t="shared" si="6"/>
        <v>364</v>
      </c>
      <c r="S13" s="184">
        <f t="shared" si="6"/>
        <v>317</v>
      </c>
      <c r="T13" s="184">
        <f t="shared" si="6"/>
        <v>786</v>
      </c>
      <c r="U13" s="184">
        <f t="shared" si="6"/>
        <v>791</v>
      </c>
      <c r="V13" s="184">
        <f t="shared" si="6"/>
        <v>467</v>
      </c>
      <c r="W13" s="184">
        <f t="shared" si="6"/>
        <v>236</v>
      </c>
      <c r="X13" s="184">
        <f t="shared" si="6"/>
        <v>254</v>
      </c>
      <c r="Y13" s="184">
        <f t="shared" si="6"/>
        <v>25</v>
      </c>
      <c r="Z13" s="184">
        <f t="shared" si="6"/>
        <v>61</v>
      </c>
      <c r="AA13" s="184">
        <f t="shared" si="6"/>
        <v>77</v>
      </c>
      <c r="AB13" s="184">
        <f t="shared" si="6"/>
        <v>9</v>
      </c>
      <c r="AC13" s="184">
        <f t="shared" si="6"/>
        <v>0</v>
      </c>
      <c r="AD13" s="184">
        <f t="shared" si="6"/>
        <v>0</v>
      </c>
      <c r="AE13" s="184">
        <f t="shared" si="6"/>
        <v>0</v>
      </c>
      <c r="AF13" s="184">
        <f>SUBTOTAL(9,AF9:AF12)</f>
        <v>0</v>
      </c>
      <c r="AG13" s="184">
        <f t="shared" ref="AG13:AT13" si="7">SUBTOTAL(9,AG8:AG12)</f>
        <v>13</v>
      </c>
      <c r="AH13" s="184">
        <f t="shared" si="7"/>
        <v>90</v>
      </c>
      <c r="AI13" s="184">
        <f t="shared" si="7"/>
        <v>82</v>
      </c>
      <c r="AJ13" s="184">
        <f t="shared" si="7"/>
        <v>25</v>
      </c>
      <c r="AK13" s="184">
        <f t="shared" si="7"/>
        <v>0</v>
      </c>
      <c r="AL13" s="184">
        <f t="shared" si="7"/>
        <v>0</v>
      </c>
      <c r="AM13" s="184">
        <f t="shared" si="7"/>
        <v>0</v>
      </c>
      <c r="AN13" s="184">
        <f t="shared" si="7"/>
        <v>0</v>
      </c>
      <c r="AO13" s="184">
        <f t="shared" si="7"/>
        <v>2</v>
      </c>
      <c r="AP13" s="184">
        <f t="shared" si="7"/>
        <v>1</v>
      </c>
      <c r="AQ13" s="184">
        <f t="shared" si="7"/>
        <v>1</v>
      </c>
      <c r="AR13" s="184">
        <f t="shared" si="7"/>
        <v>1</v>
      </c>
      <c r="AS13" s="184">
        <f t="shared" si="7"/>
        <v>0</v>
      </c>
      <c r="AT13" s="184">
        <f t="shared" si="7"/>
        <v>0</v>
      </c>
      <c r="AU13" s="204"/>
      <c r="AV13" s="132"/>
      <c r="AW13" s="204"/>
      <c r="AX13" s="132"/>
      <c r="AY13" s="184">
        <f>SUBTOTAL(9,AY8:AY12)</f>
        <v>330</v>
      </c>
      <c r="AZ13" s="184">
        <f>SUBTOTAL(9,AZ8:AZ12)</f>
        <v>876</v>
      </c>
      <c r="BA13" s="184">
        <f>SUBTOTAL(9,BA8:BA12)</f>
        <v>873</v>
      </c>
      <c r="BB13" s="184">
        <f>SUBTOTAL(9,BB8:BB12)</f>
        <v>492</v>
      </c>
      <c r="BC13" s="184">
        <f>SUBTOTAL(9,BC8:BC12)</f>
        <v>251</v>
      </c>
      <c r="BD13" s="205">
        <f>IF(ISNUMBER(BA13/AZ13),BA13/AZ13," - ")</f>
        <v>0.99657534246575341</v>
      </c>
      <c r="BE13" s="206">
        <f>IF(ISNUMBER(BB13/BA13),BB13/BA13, " - ")</f>
        <v>0.56357388316151202</v>
      </c>
      <c r="BF13" s="206">
        <f>IF(ISNUMBER(BC13/BA13),BC13/BA13, " - ")</f>
        <v>0.28751431844215347</v>
      </c>
      <c r="BG13" s="207">
        <f>IF(ISNUMBER((AY13+AZ13)/BA13),(AY13+AZ13)/BA13," - ")</f>
        <v>1.3814432989690721</v>
      </c>
      <c r="BH13" s="140">
        <f>SUBTOTAL(9,BH8:BH12)</f>
        <v>2</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179</v>
      </c>
      <c r="J16" s="183">
        <v>1184</v>
      </c>
      <c r="K16" s="183">
        <v>1141</v>
      </c>
      <c r="L16" s="183">
        <v>167</v>
      </c>
      <c r="M16" s="183">
        <v>164</v>
      </c>
      <c r="N16" s="183">
        <v>785</v>
      </c>
      <c r="O16" s="181">
        <v>27</v>
      </c>
      <c r="P16" s="183">
        <v>46</v>
      </c>
      <c r="Q16" s="183">
        <v>43</v>
      </c>
      <c r="R16" s="183">
        <v>43</v>
      </c>
      <c r="S16" s="183">
        <v>113</v>
      </c>
      <c r="T16" s="183">
        <v>977</v>
      </c>
      <c r="U16" s="183">
        <v>911</v>
      </c>
      <c r="V16" s="183">
        <v>179</v>
      </c>
      <c r="W16" s="183">
        <v>108</v>
      </c>
      <c r="X16" s="189">
        <v>625</v>
      </c>
      <c r="Y16" s="202">
        <v>0</v>
      </c>
      <c r="Z16" s="183">
        <v>0</v>
      </c>
      <c r="AA16" s="183">
        <v>0</v>
      </c>
      <c r="AB16" s="183">
        <v>0</v>
      </c>
      <c r="AC16" s="183">
        <v>0</v>
      </c>
      <c r="AD16" s="183">
        <v>1</v>
      </c>
      <c r="AE16" s="183">
        <v>1</v>
      </c>
      <c r="AF16" s="189">
        <v>0</v>
      </c>
      <c r="AG16" s="202">
        <v>0</v>
      </c>
      <c r="AH16" s="183">
        <v>0</v>
      </c>
      <c r="AI16" s="183">
        <v>0</v>
      </c>
      <c r="AJ16" s="203">
        <v>0</v>
      </c>
      <c r="AK16" s="182">
        <v>0</v>
      </c>
      <c r="AL16" s="183">
        <v>0</v>
      </c>
      <c r="AM16" s="183">
        <v>0</v>
      </c>
      <c r="AN16" s="189">
        <v>0</v>
      </c>
      <c r="AO16" s="259">
        <v>1</v>
      </c>
      <c r="AP16" s="155">
        <v>1</v>
      </c>
      <c r="AQ16" s="155">
        <v>1</v>
      </c>
      <c r="AR16" s="155">
        <v>1</v>
      </c>
      <c r="AS16" s="340" t="s">
        <v>487</v>
      </c>
      <c r="AT16" s="203"/>
      <c r="AU16" s="202"/>
      <c r="AV16" s="203"/>
      <c r="AW16" s="202"/>
      <c r="AX16" s="203"/>
      <c r="AY16" s="126">
        <f t="shared" si="9"/>
        <v>113</v>
      </c>
      <c r="AZ16" s="127">
        <f t="shared" si="9"/>
        <v>977</v>
      </c>
      <c r="BA16" s="127">
        <f t="shared" si="9"/>
        <v>911</v>
      </c>
      <c r="BB16" s="127">
        <f t="shared" si="9"/>
        <v>179</v>
      </c>
      <c r="BC16" s="125">
        <f>IF(ISNUMBER(W16),W16," - ")</f>
        <v>108</v>
      </c>
      <c r="BD16" s="126">
        <f t="shared" ref="BD16" si="11">IF(ISNUMBER(BA16/AZ16),BA16/AZ16," - ")</f>
        <v>0.93244626407369502</v>
      </c>
      <c r="BE16" s="127">
        <f t="shared" ref="BE16" si="12">IF(ISNUMBER(BB16/BA16),BB16/BA16, " - ")</f>
        <v>0.1964873765093304</v>
      </c>
      <c r="BF16" s="127">
        <f t="shared" ref="BF16" si="13">IF(ISNUMBER(BC16/BA16),BC16/BA16, " - ")</f>
        <v>0.11855104281009879</v>
      </c>
      <c r="BG16" s="196">
        <f t="shared" si="10"/>
        <v>1.1964873765093305</v>
      </c>
      <c r="BH16" s="155">
        <v>1</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13</v>
      </c>
      <c r="J17" s="183">
        <v>77</v>
      </c>
      <c r="K17" s="183">
        <v>71</v>
      </c>
      <c r="L17" s="183">
        <v>20</v>
      </c>
      <c r="M17" s="183">
        <v>21</v>
      </c>
      <c r="N17" s="183">
        <v>48</v>
      </c>
      <c r="O17" s="183">
        <v>0</v>
      </c>
      <c r="P17" s="183">
        <v>6</v>
      </c>
      <c r="Q17" s="183">
        <v>5</v>
      </c>
      <c r="R17" s="183">
        <v>2</v>
      </c>
      <c r="S17" s="183">
        <v>14</v>
      </c>
      <c r="T17" s="183">
        <v>92</v>
      </c>
      <c r="U17" s="183">
        <v>93</v>
      </c>
      <c r="V17" s="183">
        <v>13</v>
      </c>
      <c r="W17" s="183">
        <v>15</v>
      </c>
      <c r="X17" s="189">
        <v>47</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14</v>
      </c>
      <c r="AZ17" s="129">
        <f t="shared" si="14"/>
        <v>92</v>
      </c>
      <c r="BA17" s="129">
        <f t="shared" si="14"/>
        <v>93</v>
      </c>
      <c r="BB17" s="129">
        <f t="shared" si="14"/>
        <v>13</v>
      </c>
      <c r="BC17" s="125">
        <f>IF(ISNUMBER(W17),W17," - ")</f>
        <v>15</v>
      </c>
      <c r="BD17" s="126">
        <f>IF(ISNUMBER(BA17/AZ17),BA17/AZ17," - ")</f>
        <v>1.0108695652173914</v>
      </c>
      <c r="BE17" s="127">
        <f>IF(ISNUMBER(BB17/BA17),BB17/BA17, " - ")</f>
        <v>0.13978494623655913</v>
      </c>
      <c r="BF17" s="127">
        <f>IF(ISNUMBER(BC17/BA17),BC17/BA17, " - ")</f>
        <v>0.16129032258064516</v>
      </c>
      <c r="BG17" s="196">
        <f>IF(ISNUMBER((AY17+AZ17)/BA17),(AY17+AZ17)/BA17," - ")</f>
        <v>1.1397849462365592</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192</v>
      </c>
      <c r="J18" s="184">
        <f t="shared" si="15"/>
        <v>1261</v>
      </c>
      <c r="K18" s="184">
        <f t="shared" si="15"/>
        <v>1212</v>
      </c>
      <c r="L18" s="184">
        <f t="shared" si="15"/>
        <v>187</v>
      </c>
      <c r="M18" s="184">
        <f t="shared" si="15"/>
        <v>185</v>
      </c>
      <c r="N18" s="184">
        <f t="shared" si="15"/>
        <v>833</v>
      </c>
      <c r="O18" s="184">
        <f t="shared" si="15"/>
        <v>27</v>
      </c>
      <c r="P18" s="184">
        <f t="shared" si="15"/>
        <v>52</v>
      </c>
      <c r="Q18" s="184">
        <f t="shared" si="15"/>
        <v>48</v>
      </c>
      <c r="R18" s="184">
        <f t="shared" si="15"/>
        <v>45</v>
      </c>
      <c r="S18" s="184">
        <f t="shared" si="15"/>
        <v>127</v>
      </c>
      <c r="T18" s="184">
        <f t="shared" si="15"/>
        <v>1069</v>
      </c>
      <c r="U18" s="184">
        <f t="shared" si="15"/>
        <v>1004</v>
      </c>
      <c r="V18" s="184">
        <f t="shared" si="15"/>
        <v>192</v>
      </c>
      <c r="W18" s="184">
        <f t="shared" si="15"/>
        <v>123</v>
      </c>
      <c r="X18" s="184">
        <f t="shared" si="15"/>
        <v>672</v>
      </c>
      <c r="Y18" s="184">
        <f t="shared" si="15"/>
        <v>0</v>
      </c>
      <c r="Z18" s="184">
        <f t="shared" si="15"/>
        <v>0</v>
      </c>
      <c r="AA18" s="184">
        <f t="shared" si="15"/>
        <v>0</v>
      </c>
      <c r="AB18" s="184">
        <f t="shared" si="15"/>
        <v>0</v>
      </c>
      <c r="AC18" s="184">
        <f t="shared" si="15"/>
        <v>0</v>
      </c>
      <c r="AD18" s="184">
        <f t="shared" si="15"/>
        <v>1</v>
      </c>
      <c r="AE18" s="184">
        <f t="shared" si="15"/>
        <v>1</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2</v>
      </c>
      <c r="AP18" s="184">
        <f t="shared" si="15"/>
        <v>1</v>
      </c>
      <c r="AQ18" s="184">
        <f t="shared" si="15"/>
        <v>1</v>
      </c>
      <c r="AR18" s="184">
        <f t="shared" si="15"/>
        <v>1</v>
      </c>
      <c r="AS18" s="184">
        <f t="shared" si="15"/>
        <v>0</v>
      </c>
      <c r="AT18" s="184">
        <f t="shared" si="15"/>
        <v>0</v>
      </c>
      <c r="AU18" s="204"/>
      <c r="AV18" s="132"/>
      <c r="AW18" s="204"/>
      <c r="AX18" s="132"/>
      <c r="AY18" s="184">
        <f>SUBTOTAL(9,AY14:AY17)</f>
        <v>127</v>
      </c>
      <c r="AZ18" s="184">
        <f>SUBTOTAL(9,AZ14:AZ17)</f>
        <v>1069</v>
      </c>
      <c r="BA18" s="184">
        <f>SUBTOTAL(9,BA14:BA17)</f>
        <v>1004</v>
      </c>
      <c r="BB18" s="184">
        <f>SUBTOTAL(9,BB14:BB17)</f>
        <v>192</v>
      </c>
      <c r="BC18" s="184">
        <f>SUBTOTAL(9,BC14:BC17)</f>
        <v>123</v>
      </c>
      <c r="BD18" s="205">
        <f>IF(ISNUMBER(BA18/AZ18),BA18/AZ18," - ")</f>
        <v>0.93919550982226385</v>
      </c>
      <c r="BE18" s="206">
        <f>IF(ISNUMBER(BB18/BA18),BB18/BA18, " - ")</f>
        <v>0.19123505976095617</v>
      </c>
      <c r="BF18" s="206">
        <f>IF(ISNUMBER(BC18/BA18),BC18/BA18, " - ")</f>
        <v>0.12250996015936255</v>
      </c>
      <c r="BG18" s="207">
        <f>IF(ISNUMBER((AY18+AZ18)/BA18),(AY18+AZ18)/BA18," - ")</f>
        <v>1.1912350597609562</v>
      </c>
      <c r="BH18" s="184">
        <f>SUBTOTAL(9,BH14:BH17)</f>
        <v>2</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659</v>
      </c>
      <c r="J19" s="134">
        <f t="shared" si="18"/>
        <v>2149</v>
      </c>
      <c r="K19" s="134">
        <f t="shared" si="18"/>
        <v>2003</v>
      </c>
      <c r="L19" s="134">
        <f t="shared" si="18"/>
        <v>766</v>
      </c>
      <c r="M19" s="134">
        <f t="shared" si="18"/>
        <v>473</v>
      </c>
      <c r="N19" s="134">
        <f t="shared" si="18"/>
        <v>1081</v>
      </c>
      <c r="O19" s="134">
        <f t="shared" si="18"/>
        <v>400</v>
      </c>
      <c r="P19" s="134">
        <f t="shared" si="18"/>
        <v>246</v>
      </c>
      <c r="Q19" s="134">
        <f t="shared" si="18"/>
        <v>271</v>
      </c>
      <c r="R19" s="134">
        <f t="shared" si="18"/>
        <v>409</v>
      </c>
      <c r="S19" s="134">
        <f t="shared" si="18"/>
        <v>444</v>
      </c>
      <c r="T19" s="134">
        <f t="shared" si="18"/>
        <v>1855</v>
      </c>
      <c r="U19" s="134">
        <f t="shared" si="18"/>
        <v>1795</v>
      </c>
      <c r="V19" s="134">
        <f t="shared" si="18"/>
        <v>659</v>
      </c>
      <c r="W19" s="134">
        <f t="shared" si="18"/>
        <v>359</v>
      </c>
      <c r="X19" s="134">
        <f t="shared" si="18"/>
        <v>926</v>
      </c>
      <c r="Y19" s="134">
        <f t="shared" si="18"/>
        <v>25</v>
      </c>
      <c r="Z19" s="134">
        <f t="shared" si="18"/>
        <v>61</v>
      </c>
      <c r="AA19" s="134">
        <f t="shared" si="18"/>
        <v>77</v>
      </c>
      <c r="AB19" s="134">
        <f t="shared" si="18"/>
        <v>9</v>
      </c>
      <c r="AC19" s="134">
        <f t="shared" si="18"/>
        <v>0</v>
      </c>
      <c r="AD19" s="134">
        <f t="shared" si="18"/>
        <v>1</v>
      </c>
      <c r="AE19" s="134">
        <f t="shared" si="18"/>
        <v>1</v>
      </c>
      <c r="AF19" s="134">
        <f t="shared" si="18"/>
        <v>0</v>
      </c>
      <c r="AG19" s="134">
        <f t="shared" si="18"/>
        <v>13</v>
      </c>
      <c r="AH19" s="134">
        <f t="shared" si="18"/>
        <v>90</v>
      </c>
      <c r="AI19" s="134">
        <f t="shared" si="18"/>
        <v>82</v>
      </c>
      <c r="AJ19" s="134">
        <f t="shared" si="18"/>
        <v>25</v>
      </c>
      <c r="AK19" s="134">
        <f t="shared" si="18"/>
        <v>0</v>
      </c>
      <c r="AL19" s="134">
        <f t="shared" si="18"/>
        <v>0</v>
      </c>
      <c r="AM19" s="134">
        <f t="shared" si="18"/>
        <v>0</v>
      </c>
      <c r="AN19" s="210">
        <f t="shared" si="18"/>
        <v>0</v>
      </c>
      <c r="AO19" s="211">
        <v>2</v>
      </c>
      <c r="AP19" s="211">
        <v>1</v>
      </c>
      <c r="AQ19" s="211">
        <v>1</v>
      </c>
      <c r="AR19" s="211">
        <v>1</v>
      </c>
      <c r="AS19" s="153">
        <f t="shared" si="18"/>
        <v>0</v>
      </c>
      <c r="AT19" s="153">
        <f t="shared" si="18"/>
        <v>0</v>
      </c>
      <c r="AU19" s="211"/>
      <c r="AV19" s="212"/>
      <c r="AW19" s="211"/>
      <c r="AX19" s="212"/>
      <c r="AY19" s="133">
        <f>SUBTOTAL(9,AY9:AY18)</f>
        <v>457</v>
      </c>
      <c r="AZ19" s="134">
        <f>SUBTOTAL(9,AZ9:AZ18)</f>
        <v>1945</v>
      </c>
      <c r="BA19" s="134">
        <f>SUBTOTAL(9,BA9:BA18)</f>
        <v>1877</v>
      </c>
      <c r="BB19" s="134">
        <f>SUBTOTAL(9,BB9:BB18)</f>
        <v>684</v>
      </c>
      <c r="BC19" s="135">
        <f>SUBTOTAL(9,BC9:BC18)</f>
        <v>374</v>
      </c>
      <c r="BD19" s="213">
        <f>IF(ISNUMBER(BA19/AZ19),BA19/AZ19," - ")</f>
        <v>0.96503856041131109</v>
      </c>
      <c r="BE19" s="210">
        <f>IF(ISNUMBER(BB19/BA19),BB19/BA19, " - ")</f>
        <v>0.36441129461907301</v>
      </c>
      <c r="BF19" s="210">
        <f>IF(ISNUMBER(BC19/BA19),BC19/BA19, " - ")</f>
        <v>0.19925412892914224</v>
      </c>
      <c r="BG19" s="135">
        <f>IF(ISNUMBER((AY19+AZ19)/BA19),(AY19+AZ19)/BA19," - ")</f>
        <v>1.2797016515716568</v>
      </c>
      <c r="BH19" s="211">
        <f>SUBTOTAL(9,BH9:BH18)</f>
        <v>4</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ju+sznCRSX13PjabeVlkf/OT5uQWIKq+qfUIZchEn25i+k45JBHWnf1LxihyirXxyiUXfLzvMW6Rvi9J5hyfHw==" saltValue="uiRkPOQtsRdIzM3Kt36hRA=="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JAEN</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pl9+gpEKEpN+1DclBPItOSBvlJyfBlbTlS7JKThjryM0QRAojcWs86r/x9ayAa5j8CGNYNk1tlQOTFVTKrxbfQ==" saltValue="vAEmv2rfn4Z67jAvVYs9tA=="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ANDALUCIA</v>
      </c>
    </row>
    <row r="2" spans="1:78" ht="16.5" customHeight="1">
      <c r="C2" s="488" t="str">
        <f>Criterios!A10 &amp;"  "&amp;Criterios!B10 &amp; "  " &amp; IF(NOT(ISBLANK(Criterios!A11)),Criterios!A11 &amp;"  "&amp;Criterios!B11,"")</f>
        <v>Provincias  JAEN  Resumenes por Partidos Judiciales  BAEZA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1200</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10</v>
      </c>
      <c r="G10" s="333">
        <f>IF(ISNUMBER(Datos!I10),Datos!I10," - ")</f>
        <v>8</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6</v>
      </c>
      <c r="AC10" s="226">
        <f>IF(ISNUMBER(Datos!Q10),Datos!Q10," - ")</f>
        <v>0</v>
      </c>
      <c r="AD10" s="334"/>
      <c r="AE10" s="484"/>
      <c r="AF10" s="332">
        <f>IF(ISNUMBER(Datos!L10),Datos!L10,"-")</f>
        <v>6</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2</v>
      </c>
      <c r="BD10" s="229">
        <f>IF(ISNUMBER(Datos!N10),Datos!N10," - ")</f>
        <v>0</v>
      </c>
      <c r="BE10" s="229" t="str">
        <f>IF(ISNUMBER(Datos!BW10),Datos!BW10," - ")</f>
        <v xml:space="preserve"> - </v>
      </c>
      <c r="BF10" s="228" t="str">
        <f>IF(ISNUMBER(Datos!BX10),Datos!BX10," - ")</f>
        <v xml:space="preserve"> - </v>
      </c>
      <c r="BG10" s="243">
        <f>IF(ISNUMBER(Datos!K10/Datos!J10),Datos!K10/Datos!J10," - ")</f>
        <v>3</v>
      </c>
      <c r="BH10" s="260">
        <f>IF(ISNUMBER(((Datos!L10/Datos!K10)*11)/factor_trimestre),((Datos!L10/Datos!K10)*11)/factor_trimestre," - ")</f>
        <v>11</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1600</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1323</v>
      </c>
      <c r="BZ11" s="1186">
        <f>Datos!EZ11</f>
        <v>0</v>
      </c>
    </row>
    <row r="12" spans="1:78" ht="15" thickBot="1">
      <c r="A12" s="501">
        <f>Datos!AO12</f>
        <v>1</v>
      </c>
      <c r="B12" s="507" t="s">
        <v>246</v>
      </c>
      <c r="C12" s="7" t="str">
        <f>Datos!A12</f>
        <v xml:space="preserve">Jdos. 1ª Instª. e Instr.                        </v>
      </c>
      <c r="D12" s="508"/>
      <c r="E12" s="260">
        <f>IF(ISNUMBER(Datos!AQ12),Datos!AQ12," - ")</f>
        <v>1</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61</v>
      </c>
      <c r="O12" s="334"/>
      <c r="P12" s="334"/>
      <c r="Q12" s="226">
        <f>IF(ISNUMBER(Datos!P12),Datos!P12,0)</f>
        <v>194</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223</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9</v>
      </c>
      <c r="AI12" s="334" t="str">
        <f>IF(ISNUMBER(Datos!CD12),Datos!CD12,"-")</f>
        <v>-</v>
      </c>
      <c r="AJ12" s="334" t="str">
        <f>IF(ISNUMBER(Datos!EN12),Datos!EN12," - ")</f>
        <v xml:space="preserve"> - </v>
      </c>
      <c r="AK12" s="334"/>
      <c r="AL12" s="479"/>
      <c r="AM12" s="335">
        <f>IF(ISNUMBER(Datos!R12),Datos!R12," - ")</f>
        <v>364</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286</v>
      </c>
      <c r="BD12" s="229">
        <f>IF(ISNUMBER(Datos!N12),Datos!N12," - ")</f>
        <v>248</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0.91024287222808875</v>
      </c>
      <c r="BH12" s="260">
        <f>IF(ISNUMBER(((IF(J_V="SI",Datos!L12/Datos!K12,(Datos!L12+Datos!AB12)/(Datos!K12+Datos!AA12)))*11)/factor_trimestre),((IF(J_V="SI",Datos!L12/Datos!K12,(Datos!L12+Datos!AB12)/(Datos!K12+Datos!AA12)))*11)/factor_trimestre," - ")</f>
        <v>7.42691415313225</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-7.3791348600508899E-2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680</v>
      </c>
      <c r="BZ12" s="1186">
        <f>Datos!EZ12</f>
        <v>0</v>
      </c>
    </row>
    <row r="13" spans="1:78" ht="15.75" thickTop="1" thickBot="1">
      <c r="A13" s="178"/>
      <c r="B13" s="178"/>
      <c r="C13" s="863" t="str">
        <f>Datos!A13</f>
        <v>TOTAL</v>
      </c>
      <c r="D13" s="897"/>
      <c r="E13" s="1164">
        <f t="shared" ref="E13:Z13" si="0">SUBTOTAL(9,E8:E12)</f>
        <v>1</v>
      </c>
      <c r="F13" s="898">
        <f t="shared" si="0"/>
        <v>10</v>
      </c>
      <c r="G13" s="898">
        <f t="shared" si="0"/>
        <v>8</v>
      </c>
      <c r="H13" s="899">
        <f t="shared" si="0"/>
        <v>0</v>
      </c>
      <c r="I13" s="898">
        <f t="shared" si="0"/>
        <v>0</v>
      </c>
      <c r="J13" s="867">
        <f t="shared" si="0"/>
        <v>0</v>
      </c>
      <c r="K13" s="867">
        <f t="shared" si="0"/>
        <v>0</v>
      </c>
      <c r="L13" s="899">
        <f t="shared" si="0"/>
        <v>0</v>
      </c>
      <c r="M13" s="899">
        <f t="shared" si="0"/>
        <v>0</v>
      </c>
      <c r="N13" s="899">
        <f t="shared" si="0"/>
        <v>61</v>
      </c>
      <c r="O13" s="900">
        <f t="shared" si="0"/>
        <v>0</v>
      </c>
      <c r="P13" s="900">
        <f t="shared" si="0"/>
        <v>0</v>
      </c>
      <c r="Q13" s="899">
        <f t="shared" si="0"/>
        <v>194</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6</v>
      </c>
      <c r="AC13" s="899">
        <f t="shared" si="1"/>
        <v>223</v>
      </c>
      <c r="AD13" s="899">
        <f t="shared" si="1"/>
        <v>0</v>
      </c>
      <c r="AE13" s="899">
        <f t="shared" si="1"/>
        <v>0</v>
      </c>
      <c r="AF13" s="899">
        <f t="shared" si="1"/>
        <v>6</v>
      </c>
      <c r="AG13" s="899">
        <f t="shared" si="1"/>
        <v>0</v>
      </c>
      <c r="AH13" s="899">
        <f t="shared" si="1"/>
        <v>9</v>
      </c>
      <c r="AI13" s="899">
        <f t="shared" si="1"/>
        <v>0</v>
      </c>
      <c r="AJ13" s="899">
        <f t="shared" si="1"/>
        <v>0</v>
      </c>
      <c r="AK13" s="899">
        <f t="shared" si="1"/>
        <v>0</v>
      </c>
      <c r="AL13" s="899">
        <f t="shared" si="1"/>
        <v>0</v>
      </c>
      <c r="AM13" s="899">
        <f t="shared" si="1"/>
        <v>364</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288</v>
      </c>
      <c r="BD13" s="899">
        <f t="shared" si="1"/>
        <v>248</v>
      </c>
      <c r="BE13" s="899">
        <f t="shared" si="1"/>
        <v>0</v>
      </c>
      <c r="BF13" s="899">
        <f t="shared" si="1"/>
        <v>0</v>
      </c>
      <c r="BG13" s="899">
        <f>IF(ISNUMBER(Datos!K13/Datos!J13),Datos!K13/Datos!J13," - ")</f>
        <v>0.89076576576576572</v>
      </c>
      <c r="BH13" s="903">
        <f>IF(ISNUMBER(((Datos!L13/Datos!K13)*11)/factor_trimestre),((Datos!L13/Datos!K13)*11)/factor_trimestre," - ")</f>
        <v>8.0518331226295832</v>
      </c>
      <c r="BI13" s="899">
        <f>IF(ISNUMBER('Resol  Asuntos'!D13/NºAsuntos!G13),'Resol  Asuntos'!D13/NºAsuntos!G13," - ")</f>
        <v>0.33179723502304148</v>
      </c>
      <c r="BJ13" s="899" t="str">
        <f>IF(ISNUMBER(Datos!CI13/Datos!CJ13),Datos!CI13/Datos!CJ13," - ")</f>
        <v xml:space="preserve"> - </v>
      </c>
      <c r="BK13" s="899">
        <f>SUBTOTAL(9,BK8:BK12)</f>
        <v>0</v>
      </c>
      <c r="BL13" s="899">
        <f>IF(ISNUMBER((I13-AB13+L13)/(F13)),(I13-AB13+L13)/(F13)," - ")</f>
        <v>-0.6</v>
      </c>
      <c r="BM13" s="904">
        <f>SUBTOTAL(9,BM9:BM12)</f>
        <v>-7.3791348600508899E-2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4803</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3300</v>
      </c>
      <c r="BZ15" s="1186">
        <f>Datos!EZ15</f>
        <v>0</v>
      </c>
    </row>
    <row r="16" spans="1:78" s="599" customFormat="1" ht="14.25">
      <c r="A16" s="593">
        <f>Datos!AO16</f>
        <v>1</v>
      </c>
      <c r="B16" s="594" t="s">
        <v>396</v>
      </c>
      <c r="C16" s="600" t="str">
        <f>Datos!A16</f>
        <v xml:space="preserve">Jdos. 1ª Instª. e Instr.                        </v>
      </c>
      <c r="D16" s="601"/>
      <c r="E16" s="1165">
        <f>IF(ISNUMBER(Datos!AQ16),Datos!AQ16," - ")</f>
        <v>1</v>
      </c>
      <c r="F16" s="595">
        <f>IF(ISNUMBER(AF16+AB16-Datos!J16-L16),AF16+AB16-Datos!J16-L16," - ")</f>
        <v>124</v>
      </c>
      <c r="G16" s="598">
        <f>IF(ISNUMBER(IF(D_I="SI",Datos!I16,Datos!I16+Datos!AC16)),IF(D_I="SI",Datos!I16,Datos!I16+Datos!AC16)," - ")</f>
        <v>179</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46</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1141</v>
      </c>
      <c r="AC16" s="226">
        <f>IF(ISNUMBER(Datos!Q16),Datos!Q16," - ")</f>
        <v>43</v>
      </c>
      <c r="AD16" s="334"/>
      <c r="AE16" s="484"/>
      <c r="AF16" s="596">
        <f>IF(ISNUMBER(IF(D_I="SI",Datos!L16,Datos!L16+Datos!AF16)),IF(D_I="SI",Datos!L16,Datos!L16+Datos!AF16)," - ")</f>
        <v>167</v>
      </c>
      <c r="AG16" s="334"/>
      <c r="AH16" s="334"/>
      <c r="AI16" s="334"/>
      <c r="AJ16" s="334"/>
      <c r="AK16" s="334"/>
      <c r="AL16" s="479"/>
      <c r="AM16" s="335">
        <f>IF(ISNUMBER(Datos!R16),Datos!R16," - ")</f>
        <v>43</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164</v>
      </c>
      <c r="BD16" s="229">
        <f>IF(ISNUMBER(Datos!N16),Datos!N16," - ")</f>
        <v>785</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0.96368243243243246</v>
      </c>
      <c r="BH16" s="260">
        <f>IF(ISNUMBER(((IF(D_I="SI",Datos!L16/Datos!K16,(Datos!L16+Datos!AF16)/(Datos!K16+Datos!AE16)))*11)/factor_trimestre),((IF(D_I="SI",Datos!L16/Datos!K16,(Datos!L16+Datos!AF16)/(Datos!K16+Datos!AE16)))*11)/factor_trimestre," - ")</f>
        <v>1.6099912357581068</v>
      </c>
      <c r="BI16" s="243">
        <f>IF(ISNUMBER('Resol  Asuntos'!D16/NºAsuntos!G16),'Resol  Asuntos'!D16/NºAsuntos!G16," - ")</f>
        <v>0.14373356704645049</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1000</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13</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6</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71</v>
      </c>
      <c r="AC17" s="226">
        <f>IF(ISNUMBER(Datos!Q17),Datos!Q17," - ")</f>
        <v>5</v>
      </c>
      <c r="AD17" s="334"/>
      <c r="AE17" s="484"/>
      <c r="AF17" s="332">
        <f>IF(ISNUMBER(Datos!L17),Datos!L17,"-")</f>
        <v>20</v>
      </c>
      <c r="AG17" s="334"/>
      <c r="AH17" s="334"/>
      <c r="AI17" s="334"/>
      <c r="AJ17" s="334"/>
      <c r="AK17" s="334"/>
      <c r="AL17" s="479"/>
      <c r="AM17" s="335">
        <f>IF(ISNUMBER(Datos!R17),Datos!R17," - ")</f>
        <v>2</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21</v>
      </c>
      <c r="BD17" s="229">
        <f>IF(ISNUMBER(Datos!N17),Datos!N17," - ")</f>
        <v>48</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0.92207792207792205</v>
      </c>
      <c r="BH17" s="260">
        <f>IF(ISNUMBER(((IF(D_I="SI",Datos!L17/Datos!K17,(Datos!L17+Datos!AF17)/(Datos!K17+Datos!AE17)))*11)/factor_trimestre),((IF(D_I="SI",Datos!L17/Datos!K17,(Datos!L17+Datos!AF17)/(Datos!K17+Datos!AE17)))*11)/factor_trimestre," - ")</f>
        <v>3.098591549295775</v>
      </c>
      <c r="BI17" s="243">
        <f>IF(ISNUMBER('Resol  Asuntos'!D17/NºAsuntos!G17),'Resol  Asuntos'!D17/NºAsuntos!G17," - ")</f>
        <v>0.29577464788732394</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1600</v>
      </c>
      <c r="BZ17" s="1186">
        <f>Datos!EZ17</f>
        <v>0</v>
      </c>
    </row>
    <row r="18" spans="1:78" ht="15.75" thickTop="1" thickBot="1">
      <c r="A18" s="178"/>
      <c r="B18" s="178"/>
      <c r="C18" s="863" t="str">
        <f>Datos!A18</f>
        <v>TOTAL</v>
      </c>
      <c r="D18" s="897"/>
      <c r="E18" s="1164">
        <f>SUBTOTAL(9,E15:E17)</f>
        <v>1</v>
      </c>
      <c r="F18" s="898">
        <f>SUBTOTAL(9,F15:F17)</f>
        <v>124</v>
      </c>
      <c r="G18" s="898">
        <f>SUBTOTAL(9,G15:G17)</f>
        <v>192</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52</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1212</v>
      </c>
      <c r="AC18" s="899">
        <f t="shared" si="4"/>
        <v>48</v>
      </c>
      <c r="AD18" s="899">
        <f t="shared" si="4"/>
        <v>0</v>
      </c>
      <c r="AE18" s="899">
        <f t="shared" si="4"/>
        <v>0</v>
      </c>
      <c r="AF18" s="899">
        <f t="shared" si="4"/>
        <v>187</v>
      </c>
      <c r="AG18" s="899">
        <f t="shared" si="4"/>
        <v>0</v>
      </c>
      <c r="AH18" s="899">
        <f t="shared" si="4"/>
        <v>0</v>
      </c>
      <c r="AI18" s="899">
        <f t="shared" si="4"/>
        <v>0</v>
      </c>
      <c r="AJ18" s="899">
        <f t="shared" si="4"/>
        <v>0</v>
      </c>
      <c r="AK18" s="899">
        <f t="shared" si="4"/>
        <v>0</v>
      </c>
      <c r="AL18" s="899">
        <f t="shared" si="4"/>
        <v>0</v>
      </c>
      <c r="AM18" s="899">
        <f t="shared" si="4"/>
        <v>45</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185</v>
      </c>
      <c r="BD18" s="899">
        <f t="shared" si="4"/>
        <v>833</v>
      </c>
      <c r="BE18" s="899">
        <f t="shared" si="4"/>
        <v>0</v>
      </c>
      <c r="BF18" s="899">
        <f t="shared" si="4"/>
        <v>0</v>
      </c>
      <c r="BG18" s="899">
        <f>IF(ISNUMBER(Datos!K18/Datos!J18),Datos!K18/Datos!J18," - ")</f>
        <v>0.96114195083267251</v>
      </c>
      <c r="BH18" s="903">
        <f>IF(ISNUMBER(((Datos!L18/Datos!K18)*11)/factor_trimestre),((Datos!L18/Datos!K18)*11)/factor_trimestre," - ")</f>
        <v>1.6971947194719472</v>
      </c>
      <c r="BI18" s="899">
        <f>SUBTOTAL(9,BI15:BI17)</f>
        <v>0.43950821493377445</v>
      </c>
      <c r="BJ18" s="899">
        <f>SUBTOTAL(9,BJ15:BJ17)</f>
        <v>0</v>
      </c>
      <c r="BK18" s="899">
        <f>SUBTOTAL(9,BK15:BK17)</f>
        <v>0</v>
      </c>
      <c r="BL18" s="899">
        <f>IF(ISNUMBER((I18-AB18+L18)/(F18)),(I18-AB18+L18)/(F18)," - ")</f>
        <v>-9.7741935483870961</v>
      </c>
      <c r="BM18" s="905">
        <f>IF(ISNUMBER((Datos!P18-Datos!Q18)/(Datos!R18-Datos!P18+Datos!Q18)),(Datos!P18-Datos!Q18)/(Datos!R18-Datos!P18+Datos!Q18)," - ")</f>
        <v>9.7560975609756101E-2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5900</v>
      </c>
      <c r="BZ18" s="1186"/>
    </row>
    <row r="19" spans="1:78" ht="18.75" customHeight="1" thickTop="1" thickBot="1">
      <c r="A19" s="172"/>
      <c r="B19" s="172"/>
      <c r="C19" s="818" t="str">
        <f>Datos!A19</f>
        <v>TOTAL JURISDICCIONES</v>
      </c>
      <c r="D19" s="818"/>
      <c r="E19" s="1166">
        <f t="shared" ref="E19:R19" si="6">SUBTOTAL(9,E9:E18)</f>
        <v>2</v>
      </c>
      <c r="F19" s="820">
        <f t="shared" si="6"/>
        <v>134</v>
      </c>
      <c r="G19" s="820">
        <f t="shared" si="6"/>
        <v>200</v>
      </c>
      <c r="H19" s="822">
        <f t="shared" si="6"/>
        <v>0</v>
      </c>
      <c r="I19" s="820">
        <f t="shared" si="6"/>
        <v>0</v>
      </c>
      <c r="J19" s="822">
        <f t="shared" si="6"/>
        <v>0</v>
      </c>
      <c r="K19" s="822">
        <f t="shared" si="6"/>
        <v>0</v>
      </c>
      <c r="L19" s="881">
        <f t="shared" si="6"/>
        <v>0</v>
      </c>
      <c r="M19" s="881">
        <f t="shared" si="6"/>
        <v>0</v>
      </c>
      <c r="N19" s="881">
        <f t="shared" si="6"/>
        <v>61</v>
      </c>
      <c r="O19" s="881">
        <f t="shared" si="6"/>
        <v>0</v>
      </c>
      <c r="P19" s="881">
        <f t="shared" si="6"/>
        <v>0</v>
      </c>
      <c r="Q19" s="822">
        <f t="shared" si="6"/>
        <v>246</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1218</v>
      </c>
      <c r="AC19" s="821">
        <f t="shared" si="7"/>
        <v>271</v>
      </c>
      <c r="AD19" s="821">
        <f t="shared" si="7"/>
        <v>0</v>
      </c>
      <c r="AE19" s="821">
        <f t="shared" si="7"/>
        <v>0</v>
      </c>
      <c r="AF19" s="828">
        <f t="shared" si="7"/>
        <v>193</v>
      </c>
      <c r="AG19" s="828">
        <f t="shared" si="7"/>
        <v>0</v>
      </c>
      <c r="AH19" s="828">
        <f t="shared" si="7"/>
        <v>9</v>
      </c>
      <c r="AI19" s="828">
        <f t="shared" si="7"/>
        <v>0</v>
      </c>
      <c r="AJ19" s="821">
        <f t="shared" si="7"/>
        <v>0</v>
      </c>
      <c r="AK19" s="828">
        <f t="shared" si="7"/>
        <v>0</v>
      </c>
      <c r="AL19" s="828">
        <f t="shared" si="7"/>
        <v>0</v>
      </c>
      <c r="AM19" s="828">
        <f t="shared" si="7"/>
        <v>409</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473</v>
      </c>
      <c r="BD19" s="820">
        <f t="shared" si="7"/>
        <v>1081</v>
      </c>
      <c r="BE19" s="820">
        <f t="shared" si="7"/>
        <v>0</v>
      </c>
      <c r="BF19" s="830">
        <f t="shared" si="7"/>
        <v>0</v>
      </c>
      <c r="BG19" s="915">
        <f>IF(ISNUMBER(Datos!K19/Datos!J19),Datos!K19/Datos!J19," - ")</f>
        <v>0.93206142391810143</v>
      </c>
      <c r="BH19" s="915">
        <f>IF(ISNUMBER(((Datos!L19/Datos!K19)*11)/factor_trimestre),((Datos!L19/Datos!K19)*11)/factor_trimestre," - ")</f>
        <v>4.2066899650524219</v>
      </c>
      <c r="BI19" s="813">
        <f>IF(ISNUMBER(Datos!J19/Datos!I19),Datos!J19/Datos!I19," - ")</f>
        <v>3.261001517450683</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-9.08955223880597</v>
      </c>
      <c r="BM19" s="889">
        <f>IF(ISNUMBER((Datos!P19-Datos!Q19+R19)/(Datos!R19-Datos!P19+Datos!Q19-R19)),(Datos!P19-Datos!Q19+R19)/(Datos!R19-Datos!P19+Datos!Q19-R19)," - ")</f>
        <v>-5.7603686635944701E-2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10703</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80</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0.52704627669472992</v>
      </c>
      <c r="F21" s="551">
        <f>IF(ISNUMBER(STDEV(F8:F18)),STDEV(F8:F18),"-")</f>
        <v>65.817930687617334</v>
      </c>
      <c r="G21" s="552">
        <f>IF(ISNUMBER(STDEV(G8:G18)),STDEV(G8:G18),"-")</f>
        <v>96.43909995432351</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630.30127716830782</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124.22023452991331</v>
      </c>
      <c r="BD21" s="551"/>
      <c r="BE21" s="551">
        <f>IF(ISNUMBER(STDEV(BE8:BE18)),STDEV(BE8:BE18),"-")</f>
        <v>0</v>
      </c>
      <c r="BF21" s="556">
        <f>IF(ISNUMBER(STDEV(BF8:BF18)),STDEV(BF8:BF18),"-")</f>
        <v>0</v>
      </c>
      <c r="BG21" s="775">
        <f>IF(ISNUMBER(STDEV(BG8:BG18)),STDEV(BG8:BG18),"-")</f>
        <v>0.84572897285673077</v>
      </c>
      <c r="BH21" s="776">
        <f>IF(ISNUMBER(STDEV(BH8:BH18)),STDEV(BH8:BH18),"-")</f>
        <v>3.8944290147037974</v>
      </c>
      <c r="BI21" s="249">
        <f>IF(ISNUMBER(STDEV(BI8:BI18)),STDEV(BI8:BI18),"-")</f>
        <v>0.12231301923143678</v>
      </c>
      <c r="BJ21" s="230" t="str">
        <f>IF(ISNUMBER(BL21/BM21),BL21/BM21," - ")</f>
        <v xml:space="preserve"> - </v>
      </c>
      <c r="BK21" s="575"/>
      <c r="BL21" s="559">
        <f>IF(ISNUMBER(STDEV(BL8:BL18)),STDEV(BL8:BL18),"-")</f>
        <v>6.487134469982391</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1858.3781982626083</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28 feb. 2025</v>
      </c>
    </row>
    <row r="32" spans="1:78">
      <c r="C32" s="527"/>
      <c r="D32" s="527"/>
    </row>
  </sheetData>
  <sheetProtection algorithmName="SHA-512" hashValue="oPgqVdL08Y3MSDaRT6pTCyZgEYTByOpWr3VZTNIGOZ6mt+4TQu/VFtPuP3345MhDx/rEFDJrfa3bzHdyjyzbiw==" saltValue="IEgPSSCJ7kw+t4T8IOxR4A=="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ANDALUCIA</v>
      </c>
    </row>
    <row r="2" spans="1:78" ht="16.5" customHeight="1">
      <c r="C2" s="528" t="str">
        <f>Criterios!A10 &amp;"  "&amp;Criterios!B10 &amp; "  " &amp; IF(NOT(ISBLANK(Criterios!A11)),Criterios!A11 &amp;"  "&amp;Criterios!B11,"")</f>
        <v>Provincias  JAEN  Resumenes por Partidos Judiciales  BAEZA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1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1200</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10</v>
      </c>
      <c r="G10" s="225">
        <f>IF(ISNUMBER(Datos!I10),Datos!I10," - ")</f>
        <v>8</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6</v>
      </c>
      <c r="Z10" s="619">
        <f>IF(ISNUMBER(Datos!Q10),Datos!Q10," - ")</f>
        <v>0</v>
      </c>
      <c r="AA10" s="332">
        <f>IF(ISNUMBER(Datos!L10),Datos!L10,"-")</f>
        <v>6</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2</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11</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1600</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1323</v>
      </c>
      <c r="BZ11" s="1186">
        <f>Datos!EZ11</f>
        <v>0</v>
      </c>
    </row>
    <row r="12" spans="1:78" ht="15" thickBot="1">
      <c r="A12" s="501">
        <f>Datos!AO12</f>
        <v>1</v>
      </c>
      <c r="B12" s="507" t="s">
        <v>246</v>
      </c>
      <c r="C12" s="7" t="str">
        <f>Datos!A12</f>
        <v xml:space="preserve">Jdos. 1ª Instª. e Instr.                        </v>
      </c>
      <c r="D12" s="508"/>
      <c r="E12" s="1168">
        <f>IF(ISNUMBER(Datos!AQ12),Datos!AQ12," - ")</f>
        <v>1</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194</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223</v>
      </c>
      <c r="AA12" s="332" t="str">
        <f>IF(ISNUMBER(IF(J_V="SI",Datos!L12,Datos!L12+Datos!AB12)-IF(Monitorios="SI",Datos!CD12,0)),
                          IF(J_V="SI",Datos!L12,Datos!L12+Datos!AB12)-IF(Monitorios="SI",Datos!CD12,0),
                          " - ")</f>
        <v xml:space="preserve"> - </v>
      </c>
      <c r="AB12" s="334"/>
      <c r="AC12" s="334"/>
      <c r="AD12" s="484"/>
      <c r="AE12" s="484">
        <f>IF(ISNUMBER(Datos!R12),Datos!R12," - ")</f>
        <v>364</v>
      </c>
      <c r="AF12" s="229" t="str">
        <f>IF(ISNUMBER(Datos!BV12),Datos!BV12," - ")</f>
        <v xml:space="preserve"> - </v>
      </c>
      <c r="AG12" s="225" t="str">
        <f>IF(ISNUMBER(Datos!DV12),Datos!DV12," - ")</f>
        <v xml:space="preserve"> - </v>
      </c>
      <c r="AH12" s="298"/>
      <c r="AI12" s="227"/>
      <c r="AJ12" s="225">
        <f>IF(ISNUMBER(Datos!M12),Datos!M12," - ")</f>
        <v>286</v>
      </c>
      <c r="AK12" s="229">
        <f>IF(ISNUMBER(Datos!N12),Datos!N12," - ")</f>
        <v>248</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7.42691415313225</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-7.3791348600508899E-2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680</v>
      </c>
      <c r="BZ12" s="1186">
        <f>Datos!EZ12</f>
        <v>0</v>
      </c>
    </row>
    <row r="13" spans="1:78" ht="15.75" thickTop="1" thickBot="1">
      <c r="A13" s="178"/>
      <c r="B13" s="178"/>
      <c r="C13" s="863" t="str">
        <f>Datos!A13</f>
        <v>TOTAL</v>
      </c>
      <c r="D13" s="863"/>
      <c r="E13" s="898">
        <f>SUBTOTAL(9,E8:E12)</f>
        <v>1</v>
      </c>
      <c r="F13" s="898">
        <f>SUBTOTAL(9,F8:F12)</f>
        <v>10</v>
      </c>
      <c r="G13" s="898">
        <f>SUBTOTAL(9,G8:G12)</f>
        <v>8</v>
      </c>
      <c r="H13" s="908"/>
      <c r="I13" s="898">
        <f t="shared" ref="I13:N13" si="0">SUBTOTAL(9,I8:I12)</f>
        <v>0</v>
      </c>
      <c r="J13" s="867">
        <f t="shared" si="0"/>
        <v>0</v>
      </c>
      <c r="K13" s="908">
        <f t="shared" si="0"/>
        <v>0</v>
      </c>
      <c r="L13" s="908">
        <f t="shared" si="0"/>
        <v>0</v>
      </c>
      <c r="M13" s="908">
        <f t="shared" si="0"/>
        <v>0</v>
      </c>
      <c r="N13" s="908">
        <f t="shared" si="0"/>
        <v>194</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6</v>
      </c>
      <c r="Z13" s="907">
        <f t="shared" si="2"/>
        <v>223</v>
      </c>
      <c r="AA13" s="900">
        <f t="shared" si="2"/>
        <v>6</v>
      </c>
      <c r="AB13" s="900">
        <f t="shared" si="2"/>
        <v>0</v>
      </c>
      <c r="AC13" s="900">
        <f t="shared" si="2"/>
        <v>0</v>
      </c>
      <c r="AD13" s="900">
        <f t="shared" si="2"/>
        <v>0</v>
      </c>
      <c r="AE13" s="900">
        <f t="shared" si="2"/>
        <v>364</v>
      </c>
      <c r="AF13" s="908">
        <f t="shared" si="2"/>
        <v>0</v>
      </c>
      <c r="AG13" s="908">
        <f t="shared" si="2"/>
        <v>0</v>
      </c>
      <c r="AH13" s="908">
        <f t="shared" si="2"/>
        <v>0</v>
      </c>
      <c r="AI13" s="908">
        <f t="shared" si="2"/>
        <v>0</v>
      </c>
      <c r="AJ13" s="908">
        <f t="shared" si="2"/>
        <v>288</v>
      </c>
      <c r="AK13" s="908">
        <f t="shared" si="2"/>
        <v>248</v>
      </c>
      <c r="AL13" s="908">
        <f t="shared" si="2"/>
        <v>0</v>
      </c>
      <c r="AM13" s="908">
        <f t="shared" si="2"/>
        <v>0</v>
      </c>
      <c r="AN13" s="908">
        <f t="shared" si="2"/>
        <v>0</v>
      </c>
      <c r="AO13" s="904">
        <f>IF(ISNUMBER(((NºAsuntos!I13/NºAsuntos!G13)*11)/factor_trimestre),((NºAsuntos!I13/NºAsuntos!G13)*11)/factor_trimestre," - ")</f>
        <v>7.4516129032258061</v>
      </c>
      <c r="AP13" s="910" t="str">
        <f>IF(ISNUMBER(Datos!CI13/Datos!CJ13),Datos!CI13/Datos!CJ13," - ")</f>
        <v xml:space="preserve"> - </v>
      </c>
      <c r="AQ13" s="928">
        <f t="shared" ref="AQ13:AV13" si="3">SUBTOTAL(9,AQ9:AQ12)</f>
        <v>0</v>
      </c>
      <c r="AR13" s="928">
        <f t="shared" si="3"/>
        <v>-7.3791348600508899E-2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3300</v>
      </c>
      <c r="BZ15" s="1186">
        <f>Datos!EZ15</f>
        <v>0</v>
      </c>
    </row>
    <row r="16" spans="1:78" ht="14.25">
      <c r="A16" s="501">
        <f>Datos!AO16</f>
        <v>1</v>
      </c>
      <c r="B16" s="507" t="s">
        <v>396</v>
      </c>
      <c r="C16" s="160" t="str">
        <f>Datos!A16</f>
        <v xml:space="preserve">Jdos. 1ª Instª. e Instr.                        </v>
      </c>
      <c r="D16" s="502"/>
      <c r="E16" s="1168">
        <f>IF(ISNUMBER(Datos!AQ16),Datos!AQ16," - ")</f>
        <v>1</v>
      </c>
      <c r="F16" s="333">
        <f>IF(ISNUMBER(AA16+Y16-Datos!J16-K15),AA16+Y16-Datos!J16-K15," - ")</f>
        <v>124</v>
      </c>
      <c r="G16" s="225">
        <f>IF(ISNUMBER(IF(D_I="SI",Datos!I16,Datos!I16+Datos!AC16)),IF(D_I="SI",Datos!I16,Datos!I16+Datos!AC16)," - ")</f>
        <v>179</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46</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1141</v>
      </c>
      <c r="Z16" s="619">
        <f>IF(ISNUMBER(Datos!Q16),Datos!Q16," - ")</f>
        <v>43</v>
      </c>
      <c r="AA16" s="332">
        <f>IF(ISNUMBER(IF(D_I="SI",Datos!L16,Datos!L16+Datos!AF16)),IF(D_I="SI",Datos!L16,Datos!L16+Datos!AF16)," - ")</f>
        <v>167</v>
      </c>
      <c r="AB16" s="334"/>
      <c r="AC16" s="334"/>
      <c r="AD16" s="484"/>
      <c r="AE16" s="484">
        <f>IF(ISNUMBER(Datos!R16),Datos!R16," - ")</f>
        <v>43</v>
      </c>
      <c r="AF16" s="229" t="str">
        <f>IF(ISNUMBER(Datos!BV16),Datos!BV16," - ")</f>
        <v xml:space="preserve"> - </v>
      </c>
      <c r="AG16" s="225"/>
      <c r="AH16" s="298"/>
      <c r="AI16" s="227"/>
      <c r="AJ16" s="225">
        <f>IF(ISNUMBER(Datos!M16),Datos!M16," - ")</f>
        <v>164</v>
      </c>
      <c r="AK16" s="229">
        <f>IF(ISNUMBER(Datos!N16),Datos!N16," - ")</f>
        <v>785</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1.6099912357581068</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1000</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13</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6</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71</v>
      </c>
      <c r="Z17" s="619">
        <f>IF(ISNUMBER(Datos!Q17),Datos!Q17," - ")</f>
        <v>5</v>
      </c>
      <c r="AA17" s="332">
        <f>IF(ISNUMBER(Datos!L17),Datos!L17,"-")</f>
        <v>20</v>
      </c>
      <c r="AB17" s="334"/>
      <c r="AC17" s="334"/>
      <c r="AD17" s="484"/>
      <c r="AE17" s="484">
        <f>IF(ISNUMBER(Datos!R17),Datos!R17," - ")</f>
        <v>2</v>
      </c>
      <c r="AF17" s="229" t="str">
        <f>IF(ISNUMBER(Datos!BV17),Datos!BV17," - ")</f>
        <v xml:space="preserve"> - </v>
      </c>
      <c r="AG17" s="225" t="str">
        <f>IF(ISNUMBER(Datos!DV17),Datos!DV17," - ")</f>
        <v xml:space="preserve"> - </v>
      </c>
      <c r="AH17" s="298"/>
      <c r="AI17" s="227"/>
      <c r="AJ17" s="225">
        <f>IF(ISNUMBER(Datos!M17),Datos!M17," - ")</f>
        <v>21</v>
      </c>
      <c r="AK17" s="229">
        <f>IF(ISNUMBER(Datos!N17),Datos!N17," - ")</f>
        <v>48</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3.098591549295775</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1600</v>
      </c>
      <c r="BZ17" s="1186">
        <f>Datos!EZ17</f>
        <v>0</v>
      </c>
    </row>
    <row r="18" spans="1:78" ht="15.75" thickTop="1" thickBot="1">
      <c r="A18" s="178"/>
      <c r="B18" s="178"/>
      <c r="C18" s="863" t="str">
        <f>Datos!A18</f>
        <v>TOTAL</v>
      </c>
      <c r="D18" s="863"/>
      <c r="E18" s="1169">
        <f>SUBTOTAL(9,E15:E17)</f>
        <v>1</v>
      </c>
      <c r="F18" s="898">
        <f>SUBTOTAL(9,F15:F17)</f>
        <v>124</v>
      </c>
      <c r="G18" s="898">
        <f>SUBTOTAL(9,G15:G17)</f>
        <v>192</v>
      </c>
      <c r="H18" s="932">
        <f>SUBTOTAL(9,H15:H17)</f>
        <v>0</v>
      </c>
      <c r="I18" s="911">
        <f>SUBTOTAL(9,I15:I17)</f>
        <v>0</v>
      </c>
      <c r="J18" s="867">
        <f>SUBTOTAL(9,J14:J17)</f>
        <v>0</v>
      </c>
      <c r="K18" s="932">
        <f t="shared" ref="K18:S18" si="4">SUBTOTAL(9,K15:K17)</f>
        <v>0</v>
      </c>
      <c r="L18" s="932">
        <f t="shared" si="4"/>
        <v>0</v>
      </c>
      <c r="M18" s="932">
        <f t="shared" si="4"/>
        <v>0</v>
      </c>
      <c r="N18" s="932">
        <f t="shared" si="4"/>
        <v>52</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1212</v>
      </c>
      <c r="Z18" s="932">
        <f t="shared" si="5"/>
        <v>48</v>
      </c>
      <c r="AA18" s="932">
        <f t="shared" si="5"/>
        <v>187</v>
      </c>
      <c r="AB18" s="932">
        <f t="shared" si="5"/>
        <v>0</v>
      </c>
      <c r="AC18" s="932">
        <f t="shared" si="5"/>
        <v>0</v>
      </c>
      <c r="AD18" s="932">
        <f t="shared" si="5"/>
        <v>0</v>
      </c>
      <c r="AE18" s="932">
        <f t="shared" si="5"/>
        <v>45</v>
      </c>
      <c r="AF18" s="932">
        <f t="shared" si="5"/>
        <v>0</v>
      </c>
      <c r="AG18" s="932">
        <f t="shared" si="5"/>
        <v>0</v>
      </c>
      <c r="AH18" s="932">
        <f t="shared" si="5"/>
        <v>0</v>
      </c>
      <c r="AI18" s="932">
        <f t="shared" si="5"/>
        <v>0</v>
      </c>
      <c r="AJ18" s="932">
        <f t="shared" si="5"/>
        <v>185</v>
      </c>
      <c r="AK18" s="932">
        <f t="shared" si="5"/>
        <v>833</v>
      </c>
      <c r="AL18" s="932">
        <f t="shared" si="5"/>
        <v>0</v>
      </c>
      <c r="AM18" s="932">
        <f t="shared" si="5"/>
        <v>0</v>
      </c>
      <c r="AN18" s="932">
        <f t="shared" si="5"/>
        <v>0</v>
      </c>
      <c r="AO18" s="934">
        <f>IF(ISNUMBER(((NºAsuntos!I18/NºAsuntos!G18)*11)/factor_trimestre),((NºAsuntos!I18/NºAsuntos!G18)*11)/factor_trimestre," - ")</f>
        <v>1.6971947194719472</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2</v>
      </c>
      <c r="F19" s="820">
        <f t="shared" si="7"/>
        <v>134</v>
      </c>
      <c r="G19" s="820">
        <f t="shared" si="7"/>
        <v>200</v>
      </c>
      <c r="H19" s="821">
        <f t="shared" si="7"/>
        <v>0</v>
      </c>
      <c r="I19" s="820">
        <f t="shared" si="7"/>
        <v>0</v>
      </c>
      <c r="J19" s="822">
        <f t="shared" si="7"/>
        <v>0</v>
      </c>
      <c r="K19" s="820">
        <f t="shared" si="7"/>
        <v>0</v>
      </c>
      <c r="L19" s="823">
        <f t="shared" si="7"/>
        <v>0</v>
      </c>
      <c r="M19" s="820">
        <f t="shared" si="7"/>
        <v>0</v>
      </c>
      <c r="N19" s="821">
        <f t="shared" si="7"/>
        <v>246</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1218</v>
      </c>
      <c r="Z19" s="827">
        <f t="shared" si="8"/>
        <v>271</v>
      </c>
      <c r="AA19" s="828">
        <f t="shared" si="8"/>
        <v>193</v>
      </c>
      <c r="AB19" s="828">
        <f t="shared" si="8"/>
        <v>0</v>
      </c>
      <c r="AC19" s="828">
        <f t="shared" si="8"/>
        <v>0</v>
      </c>
      <c r="AD19" s="829">
        <f t="shared" si="8"/>
        <v>0</v>
      </c>
      <c r="AE19" s="829">
        <f t="shared" si="8"/>
        <v>409</v>
      </c>
      <c r="AF19" s="830">
        <f t="shared" si="8"/>
        <v>0</v>
      </c>
      <c r="AG19" s="831">
        <f t="shared" si="8"/>
        <v>0</v>
      </c>
      <c r="AH19" s="832">
        <f t="shared" si="8"/>
        <v>0</v>
      </c>
      <c r="AI19" s="830">
        <f t="shared" si="8"/>
        <v>0</v>
      </c>
      <c r="AJ19" s="820">
        <f t="shared" si="8"/>
        <v>473</v>
      </c>
      <c r="AK19" s="820">
        <f t="shared" si="8"/>
        <v>1081</v>
      </c>
      <c r="AL19" s="820">
        <f t="shared" si="8"/>
        <v>0</v>
      </c>
      <c r="AM19" s="833">
        <f t="shared" si="8"/>
        <v>0</v>
      </c>
      <c r="AN19" s="823">
        <f>IF(ISNUMBER(Datos!K19/Datos!J19),Datos!K19/Datos!J19," - ")</f>
        <v>0.93206142391810143</v>
      </c>
      <c r="AO19" s="823">
        <f>IF(ISNUMBER(FIND("06",Criterios!A8,1)),(IF(ISNUMBER(((Datos!R19/Datos!Q19)*11)/factor_trimestre),((Datos!R19/Datos!Q19)*11)/factor_trimestre," - ")),(IF(ISNUMBER(((Datos!L19/Datos!K19)*11)/factor_trimestre),((Datos!L19/Datos!K19)*11)/factor_trimestre," - ")))</f>
        <v>4.2066899650524219</v>
      </c>
      <c r="AP19" s="834" t="str">
        <f>IF(ISNUMBER(Datos!CI19/Datos!CJ19),Datos!CI19/Datos!CJ19," - ")</f>
        <v xml:space="preserve"> - </v>
      </c>
      <c r="AQ19" s="834">
        <f>IF(OR(ISNUMBER(FIND("01",Criterios!A8,1)),ISNUMBER(FIND("02",Criterios!A8,1)),ISNUMBER(FIND("03",Criterios!A8,1)),ISNUMBER(FIND("04",Criterios!A8,1))),(J19-Y19+K19)/(F19-K19),(I19-Y19+K19)/(F19-K19))</f>
        <v>-9.08955223880597</v>
      </c>
      <c r="AR19" s="834">
        <f>IF(ISNUMBER((Datos!P19-Datos!Q19+O19)/(Datos!R19-Datos!P19+Datos!Q19-O19)),(Datos!P19-Datos!Q19+O19)/(Datos!R19-Datos!P19+Datos!Q19-O19)," - ")</f>
        <v>-5.7603686635944701E-2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80</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65.817930687617334</v>
      </c>
      <c r="G21" s="552">
        <f>IF(ISNUMBER(STDEV(G8:G18)),STDEV(G8:G18),"-")</f>
        <v>96.43909995432351</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124.22023452991331</v>
      </c>
      <c r="AK21" s="252"/>
      <c r="AL21" s="252">
        <f>IF(ISNUMBER(STDEV(AL8:AL18)),STDEV(AL8:AL18),"-")</f>
        <v>0</v>
      </c>
      <c r="AM21" s="254">
        <f>IF(ISNUMBER(STDEV(AM8:AM18)),STDEV(AM8:AM18),"-")</f>
        <v>0</v>
      </c>
      <c r="AN21" s="539">
        <f>IF(ISNUMBER(STDEV(AN8:AN18)),STDEV(AN8:AN18),"-")</f>
        <v>0</v>
      </c>
      <c r="AO21" s="540">
        <f>IF(ISNUMBER(STDEV(AO8:AO18)),STDEV(AO8:AO18),"-")</f>
        <v>3.8222161063599738</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846.34921870348535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28 feb. 2025</v>
      </c>
    </row>
    <row r="32" spans="1:78" ht="13.5" thickBot="1">
      <c r="C32" s="536"/>
      <c r="D32" s="527"/>
      <c r="E32" s="527"/>
    </row>
    <row r="33" spans="12:12" ht="15" thickBot="1">
      <c r="L33" s="546"/>
    </row>
  </sheetData>
  <sheetProtection algorithmName="SHA-512" hashValue="mGqTIM7exY9/ZwmxuapM86Ntv7pzZv1r5Ws1A+6TZn+THGZ1ipXvb5/q9oMPOxLhcAV1SeI5nmgCJ3vM9Wp54A==" saltValue="s7BcnLSYMCgLTj1gKxkNzQ=="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1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pAYCXN7wsAH1NsVnkecP2AC/4neph8t3/eGkNoEtfOGBSp5JewoEJIOJYBN0Dzpz72pDGyd2AlzDrPkqEEL0HA==" saltValue="AoVRAzhW+l7UyC7Qs3b0JA=="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JAEN</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ORt17csESQej4F3+6dBXciFLn8/6NyU7HZWfxsjJ2M2uCCDa2nJ/6ACRIyLWCCm3Fl2rWvZql+O4gbcT5H5Q2Q==" saltValue="CWUMsaUKHTVuvL7/2eDkqA=="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ANDALUCIA</v>
      </c>
    </row>
    <row r="2" spans="1:78" ht="16.5" customHeight="1">
      <c r="C2" s="488" t="str">
        <f>Criterios!A10 &amp;"  "&amp;Criterios!B10 &amp; "  " &amp; IF(NOT(ISBLANK(Criterios!A11)),Criterios!A11 &amp;"  "&amp;Criterios!B11,"")</f>
        <v>Provincias  JAEN  Resumenes por Partidos Judiciales  BAEZA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0.33179723502304148</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0.23461607486373928</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28 feb. 2025</v>
      </c>
    </row>
    <row r="32" spans="1:78">
      <c r="C32" s="774"/>
      <c r="D32" s="774"/>
    </row>
  </sheetData>
  <sheetProtection algorithmName="SHA-512" hashValue="YBXE9dZJywjyI+5rJAvu8pGQ7rxqUAJkgK2G/ei4fX06Dqo6GGWCZxFhatxgyEFDWe+9kNdGqECQTA0dIj9MLQ==" saltValue="AN45Rxfjgrt3QpjQxfhxVg=="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6X9bQqtvdwNTgO+ebJ3OGNOmxdcF8NL5kqzaXrQn3dqa4k6RV77k1zR8byM7rRw46O2GaD83vO0yu/QngIrWrg==" saltValue="o8jlTOUFcsXs8M74eDddNw=="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ANDALUCIA</v>
      </c>
      <c r="C2" s="375"/>
      <c r="D2" s="375"/>
      <c r="E2" s="375"/>
      <c r="F2" s="375"/>
    </row>
    <row r="3" spans="1:69" ht="19.5">
      <c r="A3" s="390" t="s">
        <v>115</v>
      </c>
      <c r="B3" s="391" t="str">
        <f>Criterios!A10 &amp;"  "&amp;Criterios!B10</f>
        <v>Provincias  JAEN</v>
      </c>
      <c r="D3" s="375"/>
      <c r="E3" s="375"/>
      <c r="F3" s="375"/>
      <c r="BQ3" s="471"/>
    </row>
    <row r="4" spans="1:69" ht="13.5" thickBot="1">
      <c r="A4" s="375"/>
      <c r="B4" s="391" t="str">
        <f>Criterios!A11 &amp;"  "&amp;Criterios!B11</f>
        <v>Resumenes por Partidos Judiciales  BAEZA</v>
      </c>
      <c r="C4" s="375"/>
      <c r="D4" s="375"/>
      <c r="E4" s="375"/>
      <c r="F4" s="375"/>
      <c r="BQ4" s="471"/>
    </row>
    <row r="5" spans="1:69" ht="15.75" customHeight="1">
      <c r="A5" s="1198" t="str">
        <f>"Año:  " &amp;Criterios!B5 &amp; "     Trimestre   " &amp;Criterios!D5 &amp; " al " &amp;Criterios!D6</f>
        <v>Año:  2024     Trimestre   1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8</v>
      </c>
      <c r="D10" s="404">
        <f>IF(ISNUMBER(C10/Datos!BH10),C10/Datos!BH10," - ")</f>
        <v>8</v>
      </c>
      <c r="E10" s="403">
        <f>IF(ISNUMBER(Datos!J10),Datos!J10," - ")</f>
        <v>2</v>
      </c>
      <c r="F10" s="404">
        <f>IF(ISNUMBER(E10/B10),E10/B10," - ")</f>
        <v>2</v>
      </c>
      <c r="G10" s="403">
        <f>IF(ISNUMBER(Datos!K10),Datos!K10," - ")</f>
        <v>6</v>
      </c>
      <c r="H10" s="404">
        <f>IF(ISNUMBER(G10/B10),G10/B10," - ")</f>
        <v>6</v>
      </c>
      <c r="I10" s="403">
        <f>IF(ISNUMBER(Datos!L10),Datos!L10," - ")</f>
        <v>6</v>
      </c>
      <c r="J10" s="404">
        <f>IF(ISNUMBER(I10/B10),I10/B10," - ")</f>
        <v>6</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1</v>
      </c>
      <c r="C12" s="403">
        <f>IF(ISNUMBER(IF(J_V="SI",Datos!I12,Datos!I12+Datos!Y12)),IF(J_V="SI",Datos!I12,Datos!I12+Datos!Y12)," - ")</f>
        <v>484</v>
      </c>
      <c r="D12" s="404">
        <f>IF(ISNUMBER(C12/Datos!BH12),C12/Datos!BH12," - ")</f>
        <v>484</v>
      </c>
      <c r="E12" s="403">
        <f>IF(ISNUMBER(IF(J_V="SI",Datos!J12,Datos!J12+Datos!Z12)),IF(J_V="SI",Datos!J12,Datos!J12+Datos!Z12)," - ")</f>
        <v>947</v>
      </c>
      <c r="F12" s="404">
        <f>IF(ISNUMBER(E12/B12),E12/B12," - ")</f>
        <v>947</v>
      </c>
      <c r="G12" s="403">
        <f>IF(ISNUMBER(IF(J_V="SI",Datos!K12,Datos!K12+Datos!AA12)),IF(J_V="SI",Datos!K12,Datos!K12+Datos!AA12)," - ")</f>
        <v>862</v>
      </c>
      <c r="H12" s="404">
        <f>IF(ISNUMBER(G12/B12),G12/B12," - ")</f>
        <v>862</v>
      </c>
      <c r="I12" s="403">
        <f>IF(ISNUMBER(IF(J_V="SI",Datos!L12,Datos!L12+Datos!AB12)),IF(J_V="SI",Datos!L12,Datos!L12+Datos!AB12)," - ")</f>
        <v>582</v>
      </c>
      <c r="J12" s="404">
        <f>IF(ISNUMBER(I12/B12),I12/B12," - ")</f>
        <v>582</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1</v>
      </c>
      <c r="C13" s="849">
        <f>SUBTOTAL(9,C8:C12)</f>
        <v>492</v>
      </c>
      <c r="D13" s="850" t="str">
        <f>IF(ISNUMBER(C13/Datos!BI13),C13/Datos!BI13," - ")</f>
        <v xml:space="preserve"> - </v>
      </c>
      <c r="E13" s="849">
        <f>SUBTOTAL(9,E8:E12)</f>
        <v>949</v>
      </c>
      <c r="F13" s="850">
        <f>IF(ISNUMBER(E13/B13),E13/B13," - ")</f>
        <v>949</v>
      </c>
      <c r="G13" s="849">
        <f>SUBTOTAL(9,G8:G12)</f>
        <v>868</v>
      </c>
      <c r="H13" s="850">
        <f>IF(ISNUMBER(G13/B13),G13/B13," - ")</f>
        <v>868</v>
      </c>
      <c r="I13" s="849">
        <f>SUBTOTAL(9,I8:I12)</f>
        <v>588</v>
      </c>
      <c r="J13" s="850">
        <f>IF(ISNUMBER(I13/B13),I13/B13," - ")</f>
        <v>588</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1</v>
      </c>
      <c r="C16" s="403">
        <f>IF(ISNUMBER(IF(D_I="SI",Datos!I16,Datos!I16+Datos!AC16)),IF(D_I="SI",Datos!I16,Datos!I16+Datos!AC16)," - ")</f>
        <v>179</v>
      </c>
      <c r="D16" s="404">
        <f>IF(ISNUMBER(C16/Datos!BH16),C16/Datos!BH16," - ")</f>
        <v>179</v>
      </c>
      <c r="E16" s="403">
        <f>IF(ISNUMBER(IF(D_I="SI",Datos!J16,Datos!J16+Datos!AD16)),IF(D_I="SI",Datos!J16,Datos!J16+Datos!AD16)," - ")</f>
        <v>1184</v>
      </c>
      <c r="F16" s="404">
        <f>IF(ISNUMBER(E16/B16),E16/B16," - ")</f>
        <v>1184</v>
      </c>
      <c r="G16" s="403">
        <f>IF(ISNUMBER(IF(D_I="SI",Datos!K16,Datos!K16+Datos!AE16)),IF(D_I="SI",Datos!K16,Datos!K16+Datos!AE16)," - ")</f>
        <v>1141</v>
      </c>
      <c r="H16" s="404">
        <f>IF(ISNUMBER(G16/B16),G16/B16," - ")</f>
        <v>1141</v>
      </c>
      <c r="I16" s="403">
        <f>IF(ISNUMBER(IF(D_I="SI",Datos!L16,Datos!L16+Datos!AF16)),IF(D_I="SI",Datos!L16,Datos!L16+Datos!AF16)," - ")</f>
        <v>167</v>
      </c>
      <c r="J16" s="404">
        <f>IF(ISNUMBER(I16/B16),I16/B16," - ")</f>
        <v>167</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13</v>
      </c>
      <c r="D17" s="404">
        <f>IF(ISNUMBER(C17/Datos!BH17),C17/Datos!BH17," - ")</f>
        <v>13</v>
      </c>
      <c r="E17" s="403">
        <f>IF(ISNUMBER(IF(D_I="SI",Datos!J17,Datos!J17+Datos!AD17)),IF(D_I="SI",Datos!J17,Datos!J17+Datos!AD17)," - ")</f>
        <v>77</v>
      </c>
      <c r="F17" s="404">
        <f>IF(ISNUMBER(E17/B17),E17/B17," - ")</f>
        <v>77</v>
      </c>
      <c r="G17" s="403">
        <f>IF(ISNUMBER(IF(D_I="SI",Datos!K17,Datos!K17+Datos!AE17)),IF(D_I="SI",Datos!K17,Datos!K17+Datos!AE17)," - ")</f>
        <v>71</v>
      </c>
      <c r="H17" s="404">
        <f>IF(ISNUMBER(G17/B17),G17/B17," - ")</f>
        <v>71</v>
      </c>
      <c r="I17" s="403">
        <f>IF(ISNUMBER(IF(D_I="SI",Datos!L17,Datos!L17+Datos!AF17)),IF(D_I="SI",Datos!L17,Datos!L17+Datos!AF17)," - ")</f>
        <v>20</v>
      </c>
      <c r="J17" s="404">
        <f>IF(ISNUMBER(I17/B17),I17/B17," - ")</f>
        <v>20</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1</v>
      </c>
      <c r="C18" s="849">
        <f>SUBTOTAL(9,C14:C17)</f>
        <v>192</v>
      </c>
      <c r="D18" s="850" t="str">
        <f>IF(ISNUMBER(C18/Datos!BI18),C18/Datos!BI18," - ")</f>
        <v xml:space="preserve"> - </v>
      </c>
      <c r="E18" s="849">
        <f>SUBTOTAL(9,E14:E17)</f>
        <v>1261</v>
      </c>
      <c r="F18" s="850">
        <f>IF(ISNUMBER(E18/B18),E18/B18," - ")</f>
        <v>1261</v>
      </c>
      <c r="G18" s="849">
        <f>SUBTOTAL(9,G14:G17)</f>
        <v>1212</v>
      </c>
      <c r="H18" s="850">
        <f>IF(ISNUMBER(G18/B18),G18/B18," - ")</f>
        <v>1212</v>
      </c>
      <c r="I18" s="849">
        <f>SUBTOTAL(9,I14:I17)</f>
        <v>187</v>
      </c>
      <c r="J18" s="850">
        <f>IF(ISNUMBER(I18/B18),I18/B18," - ")</f>
        <v>187</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v>
      </c>
      <c r="C19" s="794">
        <f>SUBTOTAL(9,C9:C18)</f>
        <v>684</v>
      </c>
      <c r="D19" s="795" t="str">
        <f>IF(ISNUMBER(C19/Datos!BI19),C19/Datos!BI19," - ")</f>
        <v xml:space="preserve"> - </v>
      </c>
      <c r="E19" s="794">
        <f>SUBTOTAL(9,E9:E18)</f>
        <v>2210</v>
      </c>
      <c r="F19" s="795">
        <f>IF(ISNUMBER(E19/B19),E19/B19," - ")</f>
        <v>2210</v>
      </c>
      <c r="G19" s="794">
        <f>SUBTOTAL(9,G9:G18)</f>
        <v>2080</v>
      </c>
      <c r="H19" s="795">
        <f>IF(ISNUMBER(G19/B19),G19/B19," - ")</f>
        <v>2080</v>
      </c>
      <c r="I19" s="794">
        <f>SUBTOTAL(9,I9:I18)</f>
        <v>775</v>
      </c>
      <c r="J19" s="795">
        <f>IF(ISNUMBER(I19/B19),I19/B19," - ")</f>
        <v>775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28 feb. 2025</v>
      </c>
    </row>
    <row r="27" spans="1:69">
      <c r="A27" s="414"/>
    </row>
  </sheetData>
  <sheetProtection algorithmName="SHA-512" hashValue="dVVN/+J8UzVPRgozueV1SIfNVmtyOolxmkKqd7fcaVec0OImeTblP8WvWdiBA/LiY3+G1vHzwV01LfMMzdibNw==" saltValue="ENhty2bhhm4G0kh19p6h1Q=="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ANDALUCIA</v>
      </c>
      <c r="W1"/>
      <c r="X1"/>
    </row>
    <row r="2" spans="1:78" ht="16.5" customHeight="1">
      <c r="C2" s="488" t="str">
        <f>Criterios!A10 &amp;"  "&amp;Criterios!B10 &amp; "  " &amp; IF(NOT(ISBLANK(Criterios!A11)),Criterios!A11 &amp;"  "&amp;Criterios!B11,"")</f>
        <v>Provincias  JAEN  Resumenes por Partidos Judiciales  BAEZA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1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10</v>
      </c>
      <c r="G10" s="684">
        <f>IF(ISNUMBER(Datos!I10),Datos!I10," - ")</f>
        <v>8</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6</v>
      </c>
      <c r="AC10" s="683" t="str">
        <f>IF(ISNUMBER(IF(D_I="SI",DatosP!K17,DatosP!K17+DatosP!AE17)),IF(D_I="SI",DatosP!K17,DatosP!K17+DatosP!AE17)," - ")</f>
        <v xml:space="preserve"> - </v>
      </c>
      <c r="AD10" s="685"/>
      <c r="AE10" s="685"/>
      <c r="AF10" s="688">
        <f>IF(ISNUMBER(Datos!L10),Datos!L10,"-")</f>
        <v>6</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2</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11</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1</v>
      </c>
      <c r="B12" s="507" t="s">
        <v>246</v>
      </c>
      <c r="C12" s="7" t="str">
        <f>Datos!A12</f>
        <v xml:space="preserve">Jdos. 1ª Instª. e Instr.                        </v>
      </c>
      <c r="D12" s="508"/>
      <c r="E12" s="682">
        <f>IF(ISNUMBER(Datos!AQ12),Datos!AQ12," - ")</f>
        <v>1</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194</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223</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364</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286</v>
      </c>
      <c r="AM12" s="690">
        <f>IF(ISNUMBER(Datos!N12+DatosP!N16),Datos!N12+DatosP!N16," - ")</f>
        <v>248</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7.42691415313225</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-7.3791348600508899E-2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1</v>
      </c>
      <c r="F13" s="938">
        <f t="shared" si="0"/>
        <v>10</v>
      </c>
      <c r="G13" s="938">
        <f t="shared" si="0"/>
        <v>8</v>
      </c>
      <c r="H13" s="938">
        <f t="shared" si="0"/>
        <v>0</v>
      </c>
      <c r="I13" s="940">
        <f t="shared" si="0"/>
        <v>0</v>
      </c>
      <c r="J13" s="939">
        <f t="shared" si="0"/>
        <v>0</v>
      </c>
      <c r="K13" s="939">
        <f t="shared" si="0"/>
        <v>0</v>
      </c>
      <c r="L13" s="941">
        <f t="shared" si="0"/>
        <v>0</v>
      </c>
      <c r="M13" s="941">
        <f t="shared" si="0"/>
        <v>0</v>
      </c>
      <c r="N13" s="939">
        <f t="shared" si="0"/>
        <v>194</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6</v>
      </c>
      <c r="AC13" s="939">
        <f t="shared" si="1"/>
        <v>0</v>
      </c>
      <c r="AD13" s="939">
        <f t="shared" si="1"/>
        <v>223</v>
      </c>
      <c r="AE13" s="939">
        <f t="shared" si="1"/>
        <v>0</v>
      </c>
      <c r="AF13" s="939">
        <f t="shared" si="1"/>
        <v>6</v>
      </c>
      <c r="AG13" s="939">
        <f t="shared" si="1"/>
        <v>0</v>
      </c>
      <c r="AH13" s="939">
        <f t="shared" si="1"/>
        <v>364</v>
      </c>
      <c r="AI13" s="939">
        <f t="shared" si="1"/>
        <v>0</v>
      </c>
      <c r="AJ13" s="939">
        <f t="shared" si="1"/>
        <v>0</v>
      </c>
      <c r="AK13" s="939">
        <f t="shared" si="1"/>
        <v>0</v>
      </c>
      <c r="AL13" s="939">
        <f t="shared" si="1"/>
        <v>288</v>
      </c>
      <c r="AM13" s="939">
        <f t="shared" si="1"/>
        <v>248</v>
      </c>
      <c r="AN13" s="939">
        <f t="shared" si="1"/>
        <v>0</v>
      </c>
      <c r="AO13" s="939">
        <f t="shared" si="1"/>
        <v>0</v>
      </c>
      <c r="AP13" s="944">
        <f>IF(ISNUMBER(((Datos!L13/Datos!K13)*11)/factor_trimestre),((Datos!L13/Datos!K13)*11)/factor_trimestre," - ")</f>
        <v>8.0518331226295832</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-0.6</v>
      </c>
      <c r="AU13" s="939" t="str">
        <f>IF(ISNUMBER((DatosP!#REF!-DatosP!#REF!+DatosP!#REF!)/(DatosP!#REF!+DatosP!#REF!-DatosP!#REF!-DatosP!#REF!)),(DatosP!#REF!-DatosP!#REF!+DatosP!#REF!)/(DatosP!#REF!+DatosP!#REF!-DatosP!#REF!-DatosP!#REF!)," - ")</f>
        <v xml:space="preserve"> - </v>
      </c>
      <c r="AV13" s="945">
        <f>SUBTOTAL(9,AV9:AV12)</f>
        <v>-7.3791348600508899E-2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1</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1.6971947194719472</v>
      </c>
      <c r="AQ18" s="944">
        <f>IF(ISNUMBER(((Datos!M18/Datos!L18)*11)/factor_trimestre),((Datos!M18/Datos!L18)*11)/factor_trimestre," - ")</f>
        <v>10.882352941176471</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9.7560975609756101E-2</v>
      </c>
      <c r="AW18" s="946">
        <f>IF(ISNUMBER((Datos!Q18-Datos!R18)/(Datos!S18-Datos!Q18+Datos!R18)),(Datos!Q18-Datos!R18)/(Datos!S18-Datos!Q18+Datos!R18)," - ")</f>
        <v>2.4193548387096774E-2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1</v>
      </c>
      <c r="F19" s="951">
        <f t="shared" si="4"/>
        <v>10</v>
      </c>
      <c r="G19" s="951">
        <f t="shared" si="4"/>
        <v>8</v>
      </c>
      <c r="H19" s="951">
        <f t="shared" si="4"/>
        <v>0</v>
      </c>
      <c r="I19" s="952">
        <f t="shared" si="4"/>
        <v>0</v>
      </c>
      <c r="J19" s="953">
        <f t="shared" si="4"/>
        <v>0</v>
      </c>
      <c r="K19" s="953">
        <f t="shared" si="4"/>
        <v>0</v>
      </c>
      <c r="L19" s="953">
        <f t="shared" si="4"/>
        <v>0</v>
      </c>
      <c r="M19" s="953">
        <f t="shared" si="4"/>
        <v>0</v>
      </c>
      <c r="N19" s="952">
        <f t="shared" si="4"/>
        <v>194</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6</v>
      </c>
      <c r="AC19" s="957">
        <f t="shared" si="5"/>
        <v>0</v>
      </c>
      <c r="AD19" s="957">
        <f t="shared" si="5"/>
        <v>223</v>
      </c>
      <c r="AE19" s="957">
        <f t="shared" si="5"/>
        <v>0</v>
      </c>
      <c r="AF19" s="958">
        <f t="shared" si="5"/>
        <v>6</v>
      </c>
      <c r="AG19" s="958">
        <f t="shared" si="5"/>
        <v>0</v>
      </c>
      <c r="AH19" s="958">
        <f t="shared" si="5"/>
        <v>364</v>
      </c>
      <c r="AI19" s="958">
        <f t="shared" si="5"/>
        <v>0</v>
      </c>
      <c r="AJ19" s="959">
        <f t="shared" si="5"/>
        <v>0</v>
      </c>
      <c r="AK19" s="959">
        <f t="shared" si="5"/>
        <v>0</v>
      </c>
      <c r="AL19" s="951">
        <f t="shared" si="5"/>
        <v>288</v>
      </c>
      <c r="AM19" s="951">
        <f t="shared" si="5"/>
        <v>248</v>
      </c>
      <c r="AN19" s="951">
        <f t="shared" si="5"/>
        <v>0</v>
      </c>
      <c r="AO19" s="951">
        <f t="shared" si="5"/>
        <v>0</v>
      </c>
      <c r="AP19" s="951">
        <f>IF(ISNUMBER(((Datos!L19/Datos!K19)*11)/factor_trimestre),((Datos!L19/Datos!K19)*11)/factor_trimestre," - ")</f>
        <v>4.2066899650524219</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-0.6</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-5.7603686635944701E-2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5.333333333333333</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0.51639777949432231</v>
      </c>
      <c r="F21" s="736">
        <f>IF(ISNUMBER(STDEV(F8:F18)),STDEV(F8:F18),"-")</f>
        <v>5.7735026918962573</v>
      </c>
      <c r="G21" s="737">
        <f>IF(ISNUMBER(STDEV(G8:G18)),STDEV(G8:G18),"-")</f>
        <v>4.6188021535170067</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3.4641016151377544</v>
      </c>
      <c r="AC21" s="738">
        <f>IF(ISNUMBER(STDEV(AC8:AC18)),STDEV(AC8:AC18),"-")</f>
        <v>0</v>
      </c>
      <c r="AD21" s="741"/>
      <c r="AE21" s="741"/>
      <c r="AF21" s="741"/>
      <c r="AG21" s="741"/>
      <c r="AH21" s="741"/>
      <c r="AI21" s="741"/>
      <c r="AJ21" s="742">
        <f>IF(ISNUMBER(STDEV(AJ8:AJ18)),STDEV(AJ8:AJ18),"-")</f>
        <v>0</v>
      </c>
      <c r="AK21" s="744"/>
      <c r="AL21" s="736">
        <f>IF(ISNUMBER(STDEV(AL8:AL18)),STDEV(AL8:AL18),"-")</f>
        <v>165.12621435334447</v>
      </c>
      <c r="AM21" s="736"/>
      <c r="AN21" s="736">
        <f>IF(ISNUMBER(STDEV(AN8:AN18)),STDEV(AN8:AN18),"-")</f>
        <v>0</v>
      </c>
      <c r="AO21" s="742">
        <f>IF(ISNUMBER(STDEV(AO8:AO18)),STDEV(AO8:AO18),"-")</f>
        <v>0</v>
      </c>
      <c r="AP21" s="779">
        <f>IF(ISNUMBER(STDEV(AP8:AP18)),STDEV(AP8:AP18),"-")</f>
        <v>3.8901848096107972</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28 feb. 2025</v>
      </c>
      <c r="W30"/>
      <c r="X30"/>
    </row>
    <row r="32" spans="1:78">
      <c r="C32" s="774"/>
      <c r="D32" s="774"/>
      <c r="W32"/>
      <c r="X32"/>
    </row>
  </sheetData>
  <sheetProtection algorithmName="SHA-512" hashValue="wISUhniU2rL63mIhhaX/6sWVCBHD6bAwlh+PLXmMMjz0fN0Hp2JyOxe+tOUbCL8Vt44yrEOmfYG9XQtWHm6X4A==" saltValue="vuAIFz9cdWkFgCS1/V+eqQ=="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ANDALUCIA</v>
      </c>
      <c r="C2" s="375"/>
      <c r="E2" s="375"/>
      <c r="F2" s="375"/>
      <c r="G2" s="375"/>
      <c r="H2" s="375"/>
    </row>
    <row r="3" spans="1:15" ht="39">
      <c r="A3" s="415" t="s">
        <v>218</v>
      </c>
      <c r="B3" s="391" t="str">
        <f>Criterios!A10 &amp;"  "&amp;Criterios!B10</f>
        <v>Provincias  JAEN</v>
      </c>
      <c r="C3" s="415"/>
      <c r="F3" s="375"/>
      <c r="G3" s="375"/>
      <c r="H3" s="375"/>
    </row>
    <row r="4" spans="1:15" ht="13.5" thickBot="1">
      <c r="A4" s="375"/>
      <c r="B4" s="391" t="str">
        <f>Criterios!A11 &amp;"  "&amp;Criterios!B11</f>
        <v>Resumenes por Partidos Judiciales  BAEZA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1</v>
      </c>
      <c r="D12" s="403">
        <f>Datos!BK12</f>
        <v>0</v>
      </c>
      <c r="E12" s="403">
        <f>Datos!AQ12</f>
        <v>1</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1</v>
      </c>
      <c r="D16" s="403">
        <f>Datos!BK16</f>
        <v>0</v>
      </c>
      <c r="E16" s="403">
        <f>Datos!AQ16</f>
        <v>1</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28 feb. 2025</v>
      </c>
      <c r="B23" s="391"/>
      <c r="C23" s="391"/>
    </row>
    <row r="27" spans="1:13">
      <c r="A27" s="414"/>
      <c r="B27" s="414"/>
      <c r="C27" s="414"/>
    </row>
  </sheetData>
  <sheetProtection algorithmName="SHA-512" hashValue="ggce09cMVjDmO/IkZrX868S8p9RzsDRaa1MYlwxnpmYcXWG8c2LbKauSj1+0vAnQb2RP8WpMdpxdWWMNXKvmuQ==" saltValue="Lo5yECcoT3UMR08XJD5JYQ=="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ANDALUCIA</v>
      </c>
      <c r="C2" s="391"/>
    </row>
    <row r="3" spans="1:78" ht="19.5">
      <c r="A3" s="425" t="s">
        <v>11</v>
      </c>
      <c r="B3" s="391" t="str">
        <f>Criterios!A10 &amp;"  "&amp;Criterios!B10</f>
        <v>Provincias  JAEN</v>
      </c>
      <c r="C3" s="391"/>
      <c r="D3" s="425"/>
      <c r="BZ3" s="471"/>
    </row>
    <row r="4" spans="1:78" ht="13.5" thickBot="1">
      <c r="B4" s="391" t="str">
        <f>Criterios!A11 &amp;"  "&amp;Criterios!B11</f>
        <v>Resumenes por Partidos Judiciales  BAEZA</v>
      </c>
      <c r="BZ4" s="471"/>
    </row>
    <row r="5" spans="1:78" ht="15.75" customHeight="1">
      <c r="A5" s="1210" t="str">
        <f>"Año:  " &amp;Criterios!B5 &amp; "                  Trimestre   " &amp;Criterios!D5 &amp; " al " &amp;Criterios!D6</f>
        <v>Año:  2024                  Trimestre   1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2</v>
      </c>
      <c r="E10" s="404">
        <f>IF(ISNUMBER(D10/B10),D10/B10," - ")</f>
        <v>2</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1</v>
      </c>
      <c r="C12" s="410">
        <f>Datos!AQ12</f>
        <v>1</v>
      </c>
      <c r="D12" s="403">
        <f>IF(ISNUMBER(Datos!M12),Datos!M12," - ")</f>
        <v>286</v>
      </c>
      <c r="E12" s="404">
        <f t="shared" si="0"/>
        <v>286</v>
      </c>
      <c r="F12" s="403">
        <f>IF(ISNUMBER(Datos!N12),Datos!N12," - ")</f>
        <v>248</v>
      </c>
      <c r="G12" s="404">
        <f t="shared" si="1"/>
        <v>248</v>
      </c>
      <c r="H12" s="403">
        <f>IF(ISNUMBER(Datos!O12),Datos!O12," - ")</f>
        <v>373</v>
      </c>
      <c r="I12" s="404">
        <f t="shared" si="2"/>
        <v>373</v>
      </c>
      <c r="BZ12" s="1186">
        <f>Datos!EZ12</f>
        <v>0</v>
      </c>
    </row>
    <row r="13" spans="1:78" ht="14.25" thickTop="1" thickBot="1">
      <c r="A13" s="848" t="str">
        <f>Datos!A13</f>
        <v>TOTAL</v>
      </c>
      <c r="B13" s="849">
        <f>Datos!AP13</f>
        <v>1</v>
      </c>
      <c r="C13" s="851">
        <f>Datos!AR13</f>
        <v>1</v>
      </c>
      <c r="D13" s="849">
        <f>SUBTOTAL(9,D9:D12)</f>
        <v>288</v>
      </c>
      <c r="E13" s="850">
        <f t="shared" si="0"/>
        <v>288</v>
      </c>
      <c r="F13" s="849">
        <f>SUBTOTAL(9,F9:F12)</f>
        <v>248</v>
      </c>
      <c r="G13" s="850">
        <f t="shared" si="1"/>
        <v>248</v>
      </c>
      <c r="H13" s="849">
        <f>SUBTOTAL(9,H9:H12)</f>
        <v>373</v>
      </c>
      <c r="I13" s="850">
        <f>IF(ISNUMBER(H13/B13),H13/B13," - ")</f>
        <v>373</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1</v>
      </c>
      <c r="C16" s="428">
        <f>Datos!AQ16</f>
        <v>1</v>
      </c>
      <c r="D16" s="403">
        <f>IF(ISNUMBER(Datos!M16),Datos!M16," - ")</f>
        <v>164</v>
      </c>
      <c r="E16" s="404">
        <f t="shared" si="3"/>
        <v>164</v>
      </c>
      <c r="F16" s="403">
        <f>IF(ISNUMBER(Datos!N16),Datos!N16," - ")</f>
        <v>785</v>
      </c>
      <c r="G16" s="404">
        <f t="shared" si="4"/>
        <v>785</v>
      </c>
      <c r="H16" s="403">
        <f>IF(ISNUMBER(Datos!O16),Datos!O16," - ")</f>
        <v>27</v>
      </c>
      <c r="I16" s="404">
        <f t="shared" si="5"/>
        <v>27</v>
      </c>
      <c r="BZ16" s="1186">
        <f>Datos!EZ16</f>
        <v>0</v>
      </c>
    </row>
    <row r="17" spans="1:78" ht="13.5" thickBot="1">
      <c r="A17" s="402" t="str">
        <f>Datos!A17</f>
        <v>Jdos. Violencia contra la mujer</v>
      </c>
      <c r="B17" s="427">
        <f>Datos!AO17</f>
        <v>1</v>
      </c>
      <c r="C17" s="428">
        <f>Datos!AQ17</f>
        <v>0</v>
      </c>
      <c r="D17" s="403">
        <f>IF(ISNUMBER(Datos!M17),Datos!M17," - ")</f>
        <v>21</v>
      </c>
      <c r="E17" s="404">
        <f>IF(ISNUMBER(D17/B17),D17/B17," - ")</f>
        <v>21</v>
      </c>
      <c r="F17" s="403">
        <f>IF(ISNUMBER(Datos!N17),Datos!N17," - ")</f>
        <v>48</v>
      </c>
      <c r="G17" s="404">
        <f>IF(ISNUMBER(F17/B17),F17/B17," - ")</f>
        <v>48</v>
      </c>
      <c r="H17" s="403">
        <f>IF(ISNUMBER(Datos!O17),Datos!O17," - ")</f>
        <v>0</v>
      </c>
      <c r="I17" s="404">
        <f t="shared" si="5"/>
        <v>0</v>
      </c>
      <c r="BZ17" s="1186">
        <f>Datos!EZ17</f>
        <v>0</v>
      </c>
    </row>
    <row r="18" spans="1:78" ht="14.25" thickTop="1" thickBot="1">
      <c r="A18" s="848" t="str">
        <f>Datos!A18</f>
        <v>TOTAL</v>
      </c>
      <c r="B18" s="849">
        <f>Datos!AP18</f>
        <v>1</v>
      </c>
      <c r="C18" s="851">
        <f>Datos!AR18</f>
        <v>1</v>
      </c>
      <c r="D18" s="849">
        <f>SUBTOTAL(9,D15:D17)</f>
        <v>185</v>
      </c>
      <c r="E18" s="850">
        <f t="shared" si="3"/>
        <v>185</v>
      </c>
      <c r="F18" s="849">
        <f>SUBTOTAL(9,F15:F17)</f>
        <v>833</v>
      </c>
      <c r="G18" s="850">
        <f t="shared" si="4"/>
        <v>833</v>
      </c>
      <c r="H18" s="849">
        <f>SUBTOTAL(9,H15:H17)</f>
        <v>27</v>
      </c>
      <c r="I18" s="850">
        <f>IF(ISNUMBER(H18/B18),H18/B18," - ")</f>
        <v>27</v>
      </c>
      <c r="BZ18" s="1186"/>
    </row>
    <row r="19" spans="1:78" ht="14.25" thickTop="1" thickBot="1">
      <c r="A19" s="793" t="str">
        <f>Datos!A19</f>
        <v>TOTAL JURISDICCIONES</v>
      </c>
      <c r="B19" s="794">
        <f>Datos!AP19</f>
        <v>1</v>
      </c>
      <c r="C19" s="794">
        <f>Datos!AR19</f>
        <v>1</v>
      </c>
      <c r="D19" s="794">
        <f>SUBTOTAL(9,D8:D18)</f>
        <v>473</v>
      </c>
      <c r="E19" s="795">
        <f>IF(ISNUMBER(D19/B19),D19/B19," - ")</f>
        <v>473</v>
      </c>
      <c r="F19" s="794">
        <f>SUBTOTAL(9,F8:F18)</f>
        <v>1081</v>
      </c>
      <c r="G19" s="795">
        <f>IF(ISNUMBER(F19/B19),F19/B19," - ")</f>
        <v>1081</v>
      </c>
      <c r="H19" s="794">
        <f>SUBTOTAL(9,H8:H18)</f>
        <v>400</v>
      </c>
      <c r="I19" s="795">
        <f>IF(ISNUMBER(H19/B19),H19/B19," - ")</f>
        <v>400</v>
      </c>
    </row>
    <row r="22" spans="1:78">
      <c r="A22" s="391" t="str">
        <f>Criterios!A4</f>
        <v>Fecha Informe: 28 feb. 2025</v>
      </c>
    </row>
    <row r="27" spans="1:78">
      <c r="A27" s="414"/>
    </row>
  </sheetData>
  <sheetProtection algorithmName="SHA-512" hashValue="8cHT1xJqOH2dul1D7cIYrKfSjkqlRgs8IWKwLkw3ymOr2oGpgCmxizI6ag9Fv0TQ9hDnlYw6j2rc4tnJERtn1g==" saltValue="XQEx6iQeDczAdo3UNfkzsA=="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ANDALUCIA</v>
      </c>
    </row>
    <row r="3" spans="1:4" ht="19.5">
      <c r="A3" s="429" t="s">
        <v>32</v>
      </c>
      <c r="B3" s="391" t="str">
        <f>Criterios!A10 &amp;"  "&amp;Criterios!B10</f>
        <v>Provincias  JAEN</v>
      </c>
    </row>
    <row r="4" spans="1:4" ht="13.5" thickBot="1">
      <c r="B4" s="391" t="str">
        <f>Criterios!A11 &amp;"  "&amp;Criterios!B11</f>
        <v>Resumenes por Partidos Judiciales  BAEZA</v>
      </c>
    </row>
    <row r="5" spans="1:4" ht="12.75" customHeight="1">
      <c r="A5" s="1210" t="str">
        <f>"Año:  " &amp;Criterios!B5 &amp; "                  Trimestre   " &amp;Criterios!D5 &amp; " al " &amp;Criterios!D6</f>
        <v>Año:  2024                  Trimestre   1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194</v>
      </c>
      <c r="C12" s="434">
        <f>IF(ISNUMBER(Datos!Q12),Datos!Q12," - ")</f>
        <v>223</v>
      </c>
      <c r="D12" s="408">
        <f>IF(ISNUMBER(Datos!R12),Datos!R12," - ")</f>
        <v>364</v>
      </c>
    </row>
    <row r="13" spans="1:4" ht="14.25" thickTop="1" thickBot="1">
      <c r="A13" s="848" t="str">
        <f>Datos!A13</f>
        <v>TOTAL</v>
      </c>
      <c r="B13" s="849">
        <f>SUBTOTAL(9,B9:B12)</f>
        <v>194</v>
      </c>
      <c r="C13" s="853">
        <f>SUBTOTAL(9,C9:C12)</f>
        <v>223</v>
      </c>
      <c r="D13" s="851">
        <f>SUBTOTAL(9,D9:D12)</f>
        <v>364</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46</v>
      </c>
      <c r="C16" s="434">
        <f>IF(ISNUMBER(Datos!Q16),Datos!Q16," - ")</f>
        <v>43</v>
      </c>
      <c r="D16" s="408">
        <f>IF(ISNUMBER(Datos!R16),Datos!R16," - ")</f>
        <v>43</v>
      </c>
    </row>
    <row r="17" spans="1:4" ht="13.5" thickBot="1">
      <c r="A17" s="402" t="str">
        <f>Datos!A17</f>
        <v>Jdos. Violencia contra la mujer</v>
      </c>
      <c r="B17" s="433">
        <f>IF(ISNUMBER(Datos!P17),Datos!P17," - ")</f>
        <v>6</v>
      </c>
      <c r="C17" s="434">
        <f>IF(ISNUMBER(Datos!Q17),Datos!Q17," - ")</f>
        <v>5</v>
      </c>
      <c r="D17" s="408">
        <f>IF(ISNUMBER(Datos!R17),Datos!R17," - ")</f>
        <v>2</v>
      </c>
    </row>
    <row r="18" spans="1:4" ht="14.25" thickTop="1" thickBot="1">
      <c r="A18" s="848" t="str">
        <f>Datos!A18</f>
        <v>TOTAL</v>
      </c>
      <c r="B18" s="849">
        <f>SUBTOTAL(9,B15:B17)</f>
        <v>52</v>
      </c>
      <c r="C18" s="853">
        <f>SUBTOTAL(9,C15:C17)</f>
        <v>48</v>
      </c>
      <c r="D18" s="851">
        <f>SUBTOTAL(9,D15:D17)</f>
        <v>45</v>
      </c>
    </row>
    <row r="19" spans="1:4" ht="16.5" customHeight="1" thickTop="1" thickBot="1">
      <c r="A19" s="793" t="str">
        <f>Datos!A19</f>
        <v>TOTAL JURISDICCIONES</v>
      </c>
      <c r="B19" s="798">
        <f>SUBTOTAL(9,B8:B18)</f>
        <v>246</v>
      </c>
      <c r="C19" s="799">
        <f>SUBTOTAL(9,C8:C18)</f>
        <v>271</v>
      </c>
      <c r="D19" s="800">
        <f>SUBTOTAL(9,D8:D18)</f>
        <v>409</v>
      </c>
    </row>
    <row r="20" spans="1:4" ht="7.5" customHeight="1"/>
    <row r="21" spans="1:4" ht="6" customHeight="1"/>
    <row r="22" spans="1:4">
      <c r="A22" s="391" t="str">
        <f>Criterios!A4</f>
        <v>Fecha Informe: 28 feb. 2025</v>
      </c>
    </row>
    <row r="27" spans="1:4">
      <c r="A27" s="414"/>
    </row>
  </sheetData>
  <sheetProtection algorithmName="SHA-512" hashValue="t+KscJYCaJdPR2ANnssfDKtqapPffMqYRCt0pIX+l3dgjyNl6mXGWsuZzqc5mNL7k+6NxmZWnPZBAgxpfu/e7A==" saltValue="oDjSmo5lAaK3pIff28kISw=="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ANDALUCIA</v>
      </c>
    </row>
    <row r="3" spans="1:11" ht="18.75" customHeight="1">
      <c r="A3" s="429" t="s">
        <v>118</v>
      </c>
      <c r="B3" s="391" t="str">
        <f>Criterios!A10 &amp;"  "&amp;Criterios!B10</f>
        <v>Provincias  JAEN</v>
      </c>
    </row>
    <row r="4" spans="1:11" ht="10.5" customHeight="1" thickBot="1">
      <c r="B4" s="391" t="str">
        <f>Criterios!A11 &amp;"  "&amp;Criterios!B11</f>
        <v>Resumenes por Partidos Judiciales  BAEZA</v>
      </c>
    </row>
    <row r="5" spans="1:11" ht="12.75" customHeight="1">
      <c r="A5" s="1210" t="str">
        <f>"Año:  " &amp;Criterios!B5 &amp; "    Trimestre   " &amp;Criterios!D5 &amp; " al " &amp;Criterios!D6</f>
        <v>Año:  2024    Trimestre   1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3</v>
      </c>
      <c r="C10" s="456">
        <f>IF(ISNUMBER((Datos!J10-Datos!T10)/Datos!T10),(Datos!J10-Datos!T10)/Datos!T10," - ")</f>
        <v>-0.88235294117647056</v>
      </c>
      <c r="D10" s="456">
        <f>IF(ISNUMBER((Datos!K10-Datos!U10)/Datos!U10),(Datos!K10-Datos!U10)/Datos!U10," - ")</f>
        <v>-0.45454545454545453</v>
      </c>
      <c r="E10" s="456">
        <f>IF(ISNUMBER((Datos!L10-Datos!V10)/Datos!V10),(Datos!L10-Datos!V10)/Datos!V10," - ")</f>
        <v>-0.25</v>
      </c>
      <c r="F10" s="456">
        <f>IF(ISNUMBER((Datos!M10-Datos!W10)/Datos!W10),(Datos!M10-Datos!W10)/Datos!W10," - ")</f>
        <v>1</v>
      </c>
      <c r="G10" s="457">
        <f>IF(ISNUMBER((Datos!N10-Datos!X10)/Datos!X10),(Datos!N10-Datos!X10)/Datos!X10," - ")</f>
        <v>-1</v>
      </c>
      <c r="H10" s="455">
        <f>IF(ISNUMBER(((NºAsuntos!G10/NºAsuntos!E10)-Datos!BD10)/Datos!BD10),((NºAsuntos!G10/NºAsuntos!E10)-Datos!BD10)/Datos!BD10," - ")</f>
        <v>3.6363636363636362</v>
      </c>
      <c r="I10" s="456">
        <f>IF(ISNUMBER(((NºAsuntos!I10/NºAsuntos!G10)-Datos!BE10)/Datos!BE10),((NºAsuntos!I10/NºAsuntos!G10)-Datos!BE10)/Datos!BE10," - ")</f>
        <v>0.37499999999999994</v>
      </c>
      <c r="J10" s="461">
        <f>IF(ISNUMBER((('Resol  Asuntos'!D10/NºAsuntos!G10)-Datos!BF10)/Datos!BF10),(('Resol  Asuntos'!D10/NºAsuntos!G10)-Datos!BF10)/Datos!BF10," - ")</f>
        <v>2.6666666666666665</v>
      </c>
      <c r="K10" s="462">
        <f>IF(ISNUMBER((((NºAsuntos!C10+NºAsuntos!E10)/NºAsuntos!G10)-Datos!BG10)/Datos!BG10),(((NºAsuntos!C10+NºAsuntos!E10)/NºAsuntos!G10)-Datos!BG10)/Datos!BG10," - ")</f>
        <v>-3.5087719298245584E-2</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0.47560975609756095</v>
      </c>
      <c r="C12" s="456">
        <f>IF(ISNUMBER(
   IF(J_V="SI",(Datos!J12-Datos!T12)/Datos!T12,(Datos!J12+Datos!Z12-(Datos!T12+Datos!AH12))/(Datos!T12+Datos!AH12))
     ),IF(J_V="SI",(Datos!J12-Datos!T12)/Datos!T12,(Datos!J12+Datos!Z12-(Datos!T12+Datos!AH12))/(Datos!T12+Datos!AH12))," - ")</f>
        <v>0.10244470314318975</v>
      </c>
      <c r="D12" s="456">
        <f>IF(ISNUMBER(
   IF(J_V="SI",(Datos!K12-Datos!U12)/Datos!U12,(Datos!K12+Datos!AA12-(Datos!U12+Datos!AI12))/(Datos!U12+Datos!AI12))
     ),IF(J_V="SI",(Datos!K12-Datos!U12)/Datos!U12,(Datos!K12+Datos!AA12-(Datos!U12+Datos!AI12))/(Datos!U12+Datos!AI12))," - ")</f>
        <v>0</v>
      </c>
      <c r="E12" s="456">
        <f>IF(ISNUMBER(
   IF(J_V="SI",(Datos!L12-Datos!V12)/Datos!V12,(Datos!L12+Datos!AB12-(Datos!V12+Datos!AJ12))/(Datos!V12+Datos!AJ12))
     ),IF(J_V="SI",(Datos!L12-Datos!V12)/Datos!V12,(Datos!L12+Datos!AB12-(Datos!V12+Datos!AJ12))/(Datos!V12+Datos!AJ12))," - ")</f>
        <v>0.2024793388429752</v>
      </c>
      <c r="F12" s="456">
        <f>IF(ISNUMBER((Datos!M12-Datos!W12)/Datos!W12),(Datos!M12-Datos!W12)/Datos!W12," - ")</f>
        <v>0.21702127659574469</v>
      </c>
      <c r="G12" s="457">
        <f>IF(ISNUMBER((Datos!N12-Datos!X12)/Datos!X12),(Datos!N12-Datos!X12)/Datos!X12," - ")</f>
        <v>-8.0000000000000002E-3</v>
      </c>
      <c r="H12" s="455">
        <f>IF(ISNUMBER(((NºAsuntos!G12/NºAsuntos!E12)-Datos!BD12)/Datos!BD12),((NºAsuntos!G12/NºAsuntos!E12)-Datos!BD12)/Datos!BD12," - ")</f>
        <v>-9.2925026399155189E-2</v>
      </c>
      <c r="I12" s="456">
        <f>IF(ISNUMBER(((NºAsuntos!I12/NºAsuntos!G12)-Datos!BE12)/Datos!BE12),((NºAsuntos!I12/NºAsuntos!G12)-Datos!BE12)/Datos!BE12," - ")</f>
        <v>0.20247933884297512</v>
      </c>
      <c r="J12" s="461">
        <f>IF(ISNUMBER((('Resol  Asuntos'!D12/NºAsuntos!G12)-Datos!BF12)/Datos!BF12),(('Resol  Asuntos'!D12/NºAsuntos!G12)-Datos!BF12)/Datos!BF12," - ")</f>
        <v>0.14399999999999991</v>
      </c>
      <c r="K12" s="462">
        <f>IF(ISNUMBER((((NºAsuntos!C12+NºAsuntos!E12)/NºAsuntos!G12)-Datos!BG12)/Datos!BG12),(((NºAsuntos!C12+NºAsuntos!E12)/NºAsuntos!G12)-Datos!BG12)/Datos!BG12," - ")</f>
        <v>0.2055602358887953</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0.49090909090909091</v>
      </c>
      <c r="C13" s="855">
        <f>IF(ISNUMBER(
   IF(J_V="SI",(Datos!J13-Datos!T13)/Datos!T13,(Datos!J13+Datos!Z13-(Datos!T13+Datos!AH13))/(Datos!T13+Datos!AH13))
     ),IF(J_V="SI",(Datos!J13-Datos!T13)/Datos!T13,(Datos!J13+Datos!Z13-(Datos!T13+Datos!AH13))/(Datos!T13+Datos!AH13))," - ")</f>
        <v>8.3333333333333329E-2</v>
      </c>
      <c r="D13" s="855">
        <f>IF(ISNUMBER(
   IF(J_V="SI",(Datos!K13-Datos!U13)/Datos!U13,(Datos!K13+Datos!AA13-(Datos!U13+Datos!AI13))/(Datos!U13+Datos!AI13))
     ),IF(J_V="SI",(Datos!K13-Datos!U13)/Datos!U13,(Datos!K13+Datos!AA13-(Datos!U13+Datos!AI13))/(Datos!U13+Datos!AI13))," - ")</f>
        <v>-5.7273768613974796E-3</v>
      </c>
      <c r="E13" s="855">
        <f>IF(ISNUMBER(
   IF(J_V="SI",(Datos!L13-Datos!V13)/Datos!V13,(Datos!L13+Datos!AB13-(Datos!V13+Datos!AJ13))/(Datos!V13+Datos!AJ13))
     ),IF(J_V="SI",(Datos!L13-Datos!V13)/Datos!V13,(Datos!L13+Datos!AB13-(Datos!V13+Datos!AJ13))/(Datos!V13+Datos!AJ13))," - ")</f>
        <v>0.1951219512195122</v>
      </c>
      <c r="F13" s="856">
        <f>IF(ISNUMBER((Datos!M13-Datos!W13)/Datos!W13),(Datos!M13-Datos!W13)/Datos!W13," - ")</f>
        <v>0.22033898305084745</v>
      </c>
      <c r="G13" s="857">
        <f>IF(ISNUMBER((Datos!N13-Datos!X13)/Datos!X13),(Datos!N13-Datos!X13)/Datos!X13," - ")</f>
        <v>-2.3622047244094488E-2</v>
      </c>
      <c r="H13" s="857">
        <f>IF(ISNUMBER(((NºAsuntos!G13/NºAsuntos!E13)-Datos!BD13)/Datos!BD13),((NºAsuntos!G13/NºAsuntos!E13)-Datos!BD13)/Datos!BD13," - ")</f>
        <v>-8.2209886333597618E-2</v>
      </c>
      <c r="I13" s="857">
        <f>IF(ISNUMBER(((NºAsuntos!I13/NºAsuntos!G13)-Datos!BE13)/Datos!BE13),((NºAsuntos!I13/NºAsuntos!G13)-Datos!BE13)/Datos!BE13," - ")</f>
        <v>0.20200629425649089</v>
      </c>
      <c r="J13" s="857">
        <f>IF(ISNUMBER((('Resol  Asuntos'!D13/NºAsuntos!G13)-Datos!BF13)/Datos!BF13),(('Resol  Asuntos'!D13/NºAsuntos!G13)-Datos!BF13)/Datos!BF13," - ")</f>
        <v>0.15401986523950292</v>
      </c>
      <c r="K13" s="857">
        <f>IF(ISNUMBER((((NºAsuntos!C13+NºAsuntos!E13)/NºAsuntos!G13)-Datos!BG13)/Datos!BG13),(((NºAsuntos!C13+NºAsuntos!E13)/NºAsuntos!G13)-Datos!BG13)/Datos!BG13," - ")</f>
        <v>0.20174186670334956</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0.58407079646017701</v>
      </c>
      <c r="C16" s="456">
        <f>IF(ISNUMBER(
   IF(D_I="SI",(Datos!J16-Datos!T16)/Datos!T16,(Datos!J16+Datos!AD16-(Datos!T16+Datos!AL16))/(Datos!T16+Datos!AL16))
     ),IF(D_I="SI",(Datos!J16-Datos!T16)/Datos!T16,(Datos!J16+Datos!AD16-(Datos!T16+Datos!AL16))/(Datos!T16+Datos!AL16))," - ")</f>
        <v>0.21187308085977483</v>
      </c>
      <c r="D16" s="456">
        <f>IF(ISNUMBER(
   IF(D_I="SI",(Datos!K16-Datos!U16)/Datos!U16,(Datos!K16+Datos!AE16-(Datos!U16+Datos!AM16))/(Datos!U16+Datos!AM16))
     ),IF(D_I="SI",(Datos!K16-Datos!U16)/Datos!U16,(Datos!K16+Datos!AE16-(Datos!U16+Datos!AM16))/(Datos!U16+Datos!AM16))," - ")</f>
        <v>0.25246981339187707</v>
      </c>
      <c r="E16" s="456">
        <f>IF(ISNUMBER(
   IF(D_I="SI",(Datos!L16-Datos!V16)/Datos!V16,(Datos!L16+Datos!AF16-(Datos!V16+Datos!AN16))/(Datos!V16+Datos!AN16))
     ),IF(D_I="SI",(Datos!L16-Datos!V16)/Datos!V16,(Datos!L16+Datos!AF16-(Datos!V16+Datos!AN16))/(Datos!V16+Datos!AN16))," - ")</f>
        <v>-6.7039106145251395E-2</v>
      </c>
      <c r="F16" s="456">
        <f>IF(ISNUMBER((Datos!M16-Datos!W16)/Datos!W16),(Datos!M16-Datos!W16)/Datos!W16," - ")</f>
        <v>0.51851851851851849</v>
      </c>
      <c r="G16" s="457">
        <f>IF(ISNUMBER((Datos!N16-Datos!X16)/Datos!X16),(Datos!N16-Datos!X16)/Datos!X16," - ")</f>
        <v>0.25600000000000001</v>
      </c>
      <c r="H16" s="455">
        <f>IF(ISNUMBER(((NºAsuntos!G16/NºAsuntos!E16)-Datos!BD16)/Datos!BD16),((NºAsuntos!G16/NºAsuntos!E16)-Datos!BD16)/Datos!BD16," - ")</f>
        <v>3.3499161895155297E-2</v>
      </c>
      <c r="I16" s="456">
        <f>IF(ISNUMBER(((NºAsuntos!I16/NºAsuntos!G16)-Datos!BE16)/Datos!BE16),((NºAsuntos!I16/NºAsuntos!G16)-Datos!BE16)/Datos!BE16," - ")</f>
        <v>-0.25510309000729536</v>
      </c>
      <c r="J16" s="461">
        <f>IF(ISNUMBER((('Resol  Asuntos'!D16/NºAsuntos!G16)-Datos!BF16)/Datos!BF16),(('Resol  Asuntos'!D16/NºAsuntos!G16)-Datos!BF16)/Datos!BF16," - ")</f>
        <v>0.21241925536404074</v>
      </c>
      <c r="K16" s="462">
        <f>IF(ISNUMBER((((NºAsuntos!C16+NºAsuntos!E16)/NºAsuntos!G16)-Datos!BG16)/Datos!BG16),(((NºAsuntos!C16+NºAsuntos!E16)/NºAsuntos!G16)-Datos!BG16)/Datos!BG16," - ")</f>
        <v>-1.6057056018784154E-3</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-7.1428571428571425E-2</v>
      </c>
      <c r="C17" s="456">
        <f>IF(ISNUMBER(
   IF(D_I="SI",(Datos!J17-Datos!T17)/Datos!T17,(Datos!J17+Datos!AD17-(Datos!T17+Datos!AL17))/(Datos!T17+Datos!AL17))
     ),IF(D_I="SI",(Datos!J17-Datos!T17)/Datos!T17,(Datos!J17+Datos!AD17-(Datos!T17+Datos!AL17))/(Datos!T17+Datos!AL17))," - ")</f>
        <v>-0.16304347826086957</v>
      </c>
      <c r="D17" s="456">
        <f>IF(ISNUMBER(
   IF(D_I="SI",(Datos!K17-Datos!U17)/Datos!U17,(Datos!K17+Datos!AE17-(Datos!U17+Datos!AM17))/(Datos!U17+Datos!AM17))
     ),IF(D_I="SI",(Datos!K17-Datos!U17)/Datos!U17,(Datos!K17+Datos!AE17-(Datos!U17+Datos!AM17))/(Datos!U17+Datos!AM17))," - ")</f>
        <v>-0.23655913978494625</v>
      </c>
      <c r="E17" s="456">
        <f>IF(ISNUMBER(
   IF(D_I="SI",(Datos!L17-Datos!V17)/Datos!V17,(Datos!L17+Datos!AF17-(Datos!V17+Datos!AN17))/(Datos!V17+Datos!AN17))
     ),IF(D_I="SI",(Datos!L17-Datos!V17)/Datos!V17,(Datos!L17+Datos!AF17-(Datos!V17+Datos!AN17))/(Datos!V17+Datos!AN17))," - ")</f>
        <v>0.53846153846153844</v>
      </c>
      <c r="F17" s="456">
        <f>IF(ISNUMBER((Datos!M17-Datos!W17)/Datos!W17),(Datos!M17-Datos!W17)/Datos!W17," - ")</f>
        <v>0.4</v>
      </c>
      <c r="G17" s="457">
        <f>IF(ISNUMBER((Datos!N17-Datos!X17)/Datos!X17),(Datos!N17-Datos!X17)/Datos!X17," - ")</f>
        <v>2.1276595744680851E-2</v>
      </c>
      <c r="H17" s="455">
        <f>IF(ISNUMBER(((NºAsuntos!G17/NºAsuntos!E17)-Datos!BD17)/Datos!BD17),((NºAsuntos!G17/NºAsuntos!E17)-Datos!BD17)/Datos!BD17," - ")</f>
        <v>-8.7836894288507258E-2</v>
      </c>
      <c r="I17" s="456">
        <f>IF(ISNUMBER(((NºAsuntos!I17/NºAsuntos!G17)-Datos!BE17)/Datos!BE17),((NºAsuntos!I17/NºAsuntos!G17)-Datos!BE17)/Datos!BE17," - ")</f>
        <v>1.0151679306608887</v>
      </c>
      <c r="J17" s="461">
        <f>IF(ISNUMBER((('Resol  Asuntos'!D17/NºAsuntos!G17)-Datos!BF17)/Datos!BF17),(('Resol  Asuntos'!D17/NºAsuntos!G17)-Datos!BF17)/Datos!BF17," - ")</f>
        <v>0.83380281690140845</v>
      </c>
      <c r="K17" s="462">
        <f>IF(ISNUMBER((((NºAsuntos!C17+NºAsuntos!E17)/NºAsuntos!G17)-Datos!BG17)/Datos!BG17),(((NºAsuntos!C17+NºAsuntos!E17)/NºAsuntos!G17)-Datos!BG17)/Datos!BG17," - ")</f>
        <v>0.11214456550624499</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0.51181102362204722</v>
      </c>
      <c r="C18" s="855">
        <f>IF(ISNUMBER(
   IF(Criterios!B14="SI",(Datos!J18-Datos!T18)/Datos!T18,(Datos!J18+Datos!AD18-(Datos!T18+Datos!AL18))/(Datos!T18+Datos!AL18))
     ),IF(Criterios!B14="SI",(Datos!J18-Datos!T18)/Datos!T18,(Datos!J18+Datos!AD18-(Datos!T18+Datos!AL18))/(Datos!T18+Datos!AL18))," - ")</f>
        <v>0.17960710944808231</v>
      </c>
      <c r="D18" s="855">
        <f>IF(ISNUMBER(
   IF(Criterios!B14="SI",(Datos!K18-Datos!U18)/Datos!U18,(Datos!K18+Datos!AE18-(Datos!U18+Datos!AM18))/(Datos!U18+Datos!AM18))
     ),IF(Criterios!B14="SI",(Datos!K18-Datos!U18)/Datos!U18,(Datos!K18+Datos!AE18-(Datos!U18+Datos!AM18))/(Datos!U18+Datos!AM18))," - ")</f>
        <v>0.20717131474103587</v>
      </c>
      <c r="E18" s="855">
        <f>IF(ISNUMBER(
   IF(Criterios!B14="SI",(Datos!L18-Datos!V18)/Datos!V18,(Datos!L18+Datos!AF18-(Datos!V18+Datos!AN18))/(Datos!V18+Datos!AN18))
     ),IF(Criterios!B14="SI",(Datos!L18-Datos!V18)/Datos!V18,(Datos!L18+Datos!AF18-(Datos!V18+Datos!AN18))/(Datos!V18+Datos!AN18))," - ")</f>
        <v>-2.6041666666666668E-2</v>
      </c>
      <c r="F18" s="856">
        <f>IF(ISNUMBER((Datos!M18-Datos!W18)/Datos!W18),(Datos!M18-Datos!W18)/Datos!W18," - ")</f>
        <v>0.50406504065040647</v>
      </c>
      <c r="G18" s="857">
        <f>IF(ISNUMBER((Datos!N18-Datos!X18)/Datos!X18),(Datos!N18-Datos!X18)/Datos!X18," - ")</f>
        <v>0.23958333333333334</v>
      </c>
      <c r="H18" s="857">
        <f>IF(ISNUMBER(((NºAsuntos!G18/NºAsuntos!E18)-Datos!BD18)/Datos!BD18),((NºAsuntos!G18/NºAsuntos!E18)-Datos!BD18)/Datos!BD18," - ")</f>
        <v>2.3367276334787704E-2</v>
      </c>
      <c r="I18" s="857">
        <f>IF(ISNUMBER(((NºAsuntos!I18/NºAsuntos!G18)-Datos!BE18)/Datos!BE18),((NºAsuntos!I18/NºAsuntos!G18)-Datos!BE18)/Datos!BE18," - ")</f>
        <v>-0.19318963146314627</v>
      </c>
      <c r="J18" s="857">
        <f>IF(ISNUMBER((('Resol  Asuntos'!D18/NºAsuntos!G18)-Datos!BF18)/Datos!BF18),(('Resol  Asuntos'!D18/NºAsuntos!G18)-Datos!BF18)/Datos!BF18," - ")</f>
        <v>0.24594166733746534</v>
      </c>
      <c r="K18" s="857">
        <f>IF(ISNUMBER((((NºAsuntos!C18+NºAsuntos!E18)/NºAsuntos!G18)-Datos!BG18)/Datos!BG18),(((NºAsuntos!C18+NºAsuntos!E18)/NºAsuntos!G18)-Datos!BG18)/Datos!BG18," - ")</f>
        <v>6.3881806240825168E-3</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0.49671772428884026</v>
      </c>
      <c r="C19" s="802">
        <f>IF(ISNUMBER(
   IF(J_V="SI",(Datos!J19-Datos!T19)/Datos!T19,(Datos!J19+Datos!Z19-(Datos!T19+Datos!AH19))/(Datos!T19+Datos!AH19))
     ),IF(J_V="SI",(Datos!J19-Datos!T19)/Datos!T19,(Datos!J19+Datos!Z19-(Datos!T19+Datos!AH19))/(Datos!T19+Datos!AH19))," - ")</f>
        <v>0.13624678663239073</v>
      </c>
      <c r="D19" s="802">
        <f>IF(ISNUMBER(
   IF(J_V="SI",(Datos!K19-Datos!U19)/Datos!U19,(Datos!K19+Datos!AA19-(Datos!U19+Datos!AI19))/(Datos!U19+Datos!AI19))
     ),IF(J_V="SI",(Datos!K19-Datos!U19)/Datos!U19,(Datos!K19+Datos!AA19-(Datos!U19+Datos!AI19))/(Datos!U19+Datos!AI19))," - ")</f>
        <v>0.108151305274374</v>
      </c>
      <c r="E19" s="802">
        <f>IF(ISNUMBER(
   IF(J_V="SI",(Datos!L19-Datos!V19)/Datos!V19,(Datos!L19+Datos!AB19-(Datos!V19+Datos!AJ19))/(Datos!V19+Datos!AJ19))
     ),IF(J_V="SI",(Datos!L19-Datos!V19)/Datos!V19,(Datos!L19+Datos!AB19-(Datos!V19+Datos!AJ19))/(Datos!V19+Datos!AJ19))," - ")</f>
        <v>0.13304093567251463</v>
      </c>
      <c r="F19" s="803">
        <f>IF(ISNUMBER((Datos!M19-Datos!W19)/Datos!W19),(Datos!M19-Datos!W19)/Datos!W19," - ")</f>
        <v>0.31754874651810583</v>
      </c>
      <c r="G19" s="804">
        <f>IF(ISNUMBER((Datos!N19-Datos!X19)/Datos!X19),(Datos!N19-Datos!X19)/Datos!X19," - ")</f>
        <v>0.16738660907127431</v>
      </c>
      <c r="H19" s="805">
        <f>IF(ISNUMBER((Tasas!B19-Datos!BD19)/Datos!BD19),(Tasas!B19-Datos!BD19)/Datos!BD19," - ")</f>
        <v>-2.4726566172553244E-2</v>
      </c>
      <c r="I19" s="806">
        <f>IF(ISNUMBER((Tasas!C19-Datos!BE19)/Datos!BE19),(Tasas!C19-Datos!BE19)/Datos!BE19," - ")</f>
        <v>2.2460498200629737E-2</v>
      </c>
      <c r="J19" s="807">
        <f>IF(ISNUMBER((Tasas!D19-Datos!BF19)/Datos!BF19),(Tasas!D19-Datos!BF19)/Datos!BF19," - ")</f>
        <v>0.14127545248868784</v>
      </c>
      <c r="K19" s="807">
        <f>IF(ISNUMBER((Tasas!E19-Datos!BG19)/Datos!BG19),(Tasas!E19-Datos!BG19)/Datos!BG19," - ")</f>
        <v>8.7242602318580678E-2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28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NOnGaFIpktmgeqk3gJ5dkZTnR8RxKso4iifeGPAkCZHE74jZVFOR2NbvLBbvJeYG+7kTJfArl6GPT3L9CscB2g==" saltValue="IhKMePJJ9TcB5F9gnQyCMA=="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ANDALUCIA</v>
      </c>
    </row>
    <row r="3" spans="1:7" ht="19.5">
      <c r="A3" s="436" t="s">
        <v>12</v>
      </c>
      <c r="B3" s="391" t="str">
        <f>Criterios!A10 &amp;"  "&amp;Criterios!B10</f>
        <v>Provincias  JAEN</v>
      </c>
    </row>
    <row r="4" spans="1:7" ht="11.25" customHeight="1" thickBot="1">
      <c r="B4" s="391" t="str">
        <f>Criterios!A11 &amp;"  "&amp;Criterios!B11</f>
        <v>Resumenes por Partidos Judiciales  BAEZA</v>
      </c>
    </row>
    <row r="5" spans="1:7" ht="12.75" customHeight="1">
      <c r="A5" s="1210" t="str">
        <f>"Año:  " &amp;Criterios!B5 &amp; "    Trimestre   " &amp;Criterios!D5 &amp; " al " &amp;Criterios!D6</f>
        <v>Año:  2024    Trimestre   1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3</v>
      </c>
      <c r="C10" s="443">
        <f>IF(ISNUMBER(NºAsuntos!I10/NºAsuntos!G10),NºAsuntos!I10/NºAsuntos!G10," - ")</f>
        <v>1</v>
      </c>
      <c r="D10" s="444">
        <f>IF(ISNUMBER('Resol  Asuntos'!D10/NºAsuntos!G10),'Resol  Asuntos'!D10/NºAsuntos!G10," - ")</f>
        <v>0.33333333333333331</v>
      </c>
      <c r="E10" s="445">
        <f>IF(ISNUMBER((NºAsuntos!C10+NºAsuntos!E10)/NºAsuntos!G10),(NºAsuntos!C10+NºAsuntos!E10)/NºAsuntos!G10," - ")</f>
        <v>1.6666666666666667</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0.91024287222808875</v>
      </c>
      <c r="C12" s="443">
        <f>IF(ISNUMBER(NºAsuntos!I12/NºAsuntos!G12),NºAsuntos!I12/NºAsuntos!G12," - ")</f>
        <v>0.67517401392111365</v>
      </c>
      <c r="D12" s="444">
        <f>IF(ISNUMBER('Resol  Asuntos'!D12/NºAsuntos!G12),'Resol  Asuntos'!D12/NºAsuntos!G12," - ")</f>
        <v>0.33178654292343385</v>
      </c>
      <c r="E12" s="445">
        <f>IF(ISNUMBER((NºAsuntos!C12+NºAsuntos!E12)/NºAsuntos!G12),(NºAsuntos!C12+NºAsuntos!E12)/NºAsuntos!G12," - ")</f>
        <v>1.660092807424594</v>
      </c>
      <c r="G12" s="463"/>
    </row>
    <row r="13" spans="1:7" ht="14.25" thickTop="1" thickBot="1">
      <c r="A13" s="848" t="str">
        <f>Datos!A13</f>
        <v>TOTAL</v>
      </c>
      <c r="B13" s="858">
        <f>IF(ISNUMBER(NºAsuntos!G13/NºAsuntos!E13),NºAsuntos!G13/NºAsuntos!E13," - ")</f>
        <v>0.9146469968387777</v>
      </c>
      <c r="C13" s="859">
        <f>IF(ISNUMBER(NºAsuntos!I13/NºAsuntos!G13),NºAsuntos!I13/NºAsuntos!G13," - ")</f>
        <v>0.67741935483870963</v>
      </c>
      <c r="D13" s="860">
        <f>IF(ISNUMBER('Resol  Asuntos'!D13/NºAsuntos!G13),'Resol  Asuntos'!D13/NºAsuntos!G13," - ")</f>
        <v>0.33179723502304148</v>
      </c>
      <c r="E13" s="861">
        <f>IF(ISNUMBER((NºAsuntos!C13+NºAsuntos!E13)/NºAsuntos!G13),(NºAsuntos!C13+NºAsuntos!E13)/NºAsuntos!G13," - ")</f>
        <v>1.6601382488479262</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0.96368243243243246</v>
      </c>
      <c r="C16" s="443">
        <f>IF(ISNUMBER(NºAsuntos!I16/NºAsuntos!G16),NºAsuntos!I16/NºAsuntos!G16," - ")</f>
        <v>0.14636283961437335</v>
      </c>
      <c r="D16" s="444">
        <f>IF(ISNUMBER('Resol  Asuntos'!D16/NºAsuntos!G16),'Resol  Asuntos'!D16/NºAsuntos!G16," - ")</f>
        <v>0.14373356704645049</v>
      </c>
      <c r="E16" s="445">
        <f>IF(ISNUMBER((NºAsuntos!C16+NºAsuntos!E16)/NºAsuntos!G16),(NºAsuntos!C16+NºAsuntos!E16)/NºAsuntos!G16," - ")</f>
        <v>1.1945661700262926</v>
      </c>
      <c r="G16" s="463"/>
    </row>
    <row r="17" spans="1:7" ht="13.5" thickBot="1">
      <c r="A17" s="402" t="str">
        <f>Datos!A17</f>
        <v>Jdos. Violencia contra la mujer</v>
      </c>
      <c r="B17" s="442">
        <f>IF(ISNUMBER(NºAsuntos!G17/NºAsuntos!E17),NºAsuntos!G17/NºAsuntos!E17," - ")</f>
        <v>0.92207792207792205</v>
      </c>
      <c r="C17" s="443">
        <f>IF(ISNUMBER(NºAsuntos!I17/NºAsuntos!G17),NºAsuntos!I17/NºAsuntos!G17," - ")</f>
        <v>0.28169014084507044</v>
      </c>
      <c r="D17" s="444">
        <f>IF(ISNUMBER('Resol  Asuntos'!D17/NºAsuntos!G17),'Resol  Asuntos'!D17/NºAsuntos!G17," - ")</f>
        <v>0.29577464788732394</v>
      </c>
      <c r="E17" s="445">
        <f>IF(ISNUMBER((NºAsuntos!C17+NºAsuntos!E17)/NºAsuntos!G17),(NºAsuntos!C17+NºAsuntos!E17)/NºAsuntos!G17," - ")</f>
        <v>1.267605633802817</v>
      </c>
      <c r="G17" s="463"/>
    </row>
    <row r="18" spans="1:7" ht="14.25" thickTop="1" thickBot="1">
      <c r="A18" s="848" t="str">
        <f>Datos!A18</f>
        <v>TOTAL</v>
      </c>
      <c r="B18" s="858">
        <f>IF(ISNUMBER(NºAsuntos!G18/NºAsuntos!E18),NºAsuntos!G18/NºAsuntos!E18," - ")</f>
        <v>0.96114195083267251</v>
      </c>
      <c r="C18" s="859">
        <f>IF(ISNUMBER(NºAsuntos!I18/NºAsuntos!G18),NºAsuntos!I18/NºAsuntos!G18," - ")</f>
        <v>0.1542904290429043</v>
      </c>
      <c r="D18" s="862">
        <f>IF(ISNUMBER('Resol  Asuntos'!D18/NºAsuntos!G18),'Resol  Asuntos'!D18/NºAsuntos!G18," - ")</f>
        <v>0.15264026402640263</v>
      </c>
      <c r="E18" s="861">
        <f>IF(ISNUMBER((NºAsuntos!C18+NºAsuntos!E18)/NºAsuntos!G18),(NºAsuntos!C18+NºAsuntos!E18)/NºAsuntos!G18," - ")</f>
        <v>1.1988448844884489</v>
      </c>
      <c r="G18" s="463"/>
    </row>
    <row r="19" spans="1:7" ht="15.75" customHeight="1" thickTop="1" thickBot="1">
      <c r="A19" s="793" t="str">
        <f>Datos!A19</f>
        <v>TOTAL JURISDICCIONES</v>
      </c>
      <c r="B19" s="808">
        <f>IF(ISNUMBER(NºAsuntos!G19/NºAsuntos!E19),NºAsuntos!G19/NºAsuntos!E19," - ")</f>
        <v>0.94117647058823528</v>
      </c>
      <c r="C19" s="809">
        <f>IF(ISNUMBER(NºAsuntos!I19/NºAsuntos!G19),NºAsuntos!I19/NºAsuntos!G19," - ")</f>
        <v>0.37259615384615385</v>
      </c>
      <c r="D19" s="810">
        <f>IF(ISNUMBER('Resol  Asuntos'!D19/NºAsuntos!G19),'Resol  Asuntos'!D19/NºAsuntos!G19," - ")</f>
        <v>0.22740384615384615</v>
      </c>
      <c r="E19" s="811">
        <f>IF(ISNUMBER((NºAsuntos!C19+NºAsuntos!E19)/NºAsuntos!G19),(NºAsuntos!C19+NºAsuntos!E19)/NºAsuntos!G19," - ")</f>
        <v>1.3913461538461538</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28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uDyA9kJoetNbAy8MewaMO/OtbDCmf/NaToH14hr3PrMr8kSU0rT/QY0bFLSQU5U2CFjA9GT1bLxeGKwComWBew==" saltValue="O+T9wUF6HzLjlsiNKO4Hhw=="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ANDALUCIA</v>
      </c>
      <c r="G2" s="263"/>
      <c r="H2" s="262"/>
      <c r="I2" s="262"/>
      <c r="J2" s="262"/>
      <c r="K2" s="262"/>
      <c r="L2" s="262" t="str">
        <f>Criterios!A10 &amp;"  "&amp;Criterios!B10</f>
        <v>Provincias  JAEN</v>
      </c>
      <c r="N2" s="262" t="str">
        <f>Criterios!A11 &amp;"  "&amp;Criterios!B11</f>
        <v>Resumenes por Partidos Judiciales  BAEZA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1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10</v>
      </c>
      <c r="G10" s="333">
        <f>IF(ISNUMBER(Datos!I10),Datos!I10," - ")</f>
        <v>8</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6</v>
      </c>
      <c r="X10" s="226">
        <f>IF(ISNUMBER(Datos!Q10),Datos!Q10," - ")</f>
        <v>0</v>
      </c>
      <c r="Y10" s="334">
        <f t="shared" ref="Y10:Y12" si="0">SUM(W10:X10)</f>
        <v>6</v>
      </c>
      <c r="Z10" s="335" t="str">
        <f>IF(ISNUMBER(Datos!CC10),Datos!CC10," - ")</f>
        <v xml:space="preserve"> - </v>
      </c>
      <c r="AA10" s="332">
        <f>IF(ISNUMBER(Datos!L10),Datos!L10,"-")</f>
        <v>6</v>
      </c>
      <c r="AB10" s="334">
        <f>IF(ISNUMBER(Datos!R10),Datos!R10," - ")</f>
        <v>0</v>
      </c>
      <c r="AC10" s="334">
        <f t="shared" ref="AC10:AC12" si="1">IF(ISNUMBER(AA10+AB10),AA10+AB10," - ")</f>
        <v>6</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2</v>
      </c>
      <c r="AJ10" s="231" t="str">
        <f>IF(ISNUMBER(Datos!BW10),Datos!BW10," - ")</f>
        <v xml:space="preserve"> - </v>
      </c>
      <c r="AK10" s="232" t="str">
        <f>IF(ISNUMBER(Datos!BX10),Datos!BX10," - ")</f>
        <v xml:space="preserve"> - </v>
      </c>
      <c r="AL10" s="243">
        <f>IF(ISNUMBER(NºAsuntos!G10/NºAsuntos!E10),NºAsuntos!G10/NºAsuntos!E10," - ")</f>
        <v>3</v>
      </c>
      <c r="AM10" s="260">
        <f>IF(ISNUMBER(((NºAsuntos!I10/NºAsuntos!G10)*11)/factor_trimestre),((NºAsuntos!I10/NºAsuntos!G10)*11)/factor_trimestre," - ")</f>
        <v>11</v>
      </c>
      <c r="AN10" s="244">
        <f>IF(ISNUMBER('Resol  Asuntos'!D10/NºAsuntos!G10),'Resol  Asuntos'!D10/NºAsuntos!G10," - ")</f>
        <v>0.33333333333333331</v>
      </c>
      <c r="AO10" s="245">
        <f>IF(ISNUMBER((NºAsuntos!C10+NºAsuntos!E10)/NºAsuntos!G10),(NºAsuntos!C10+NºAsuntos!E10)/NºAsuntos!G10," - ")</f>
        <v>1.6666666666666667</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1</v>
      </c>
      <c r="B12" s="275" t="s">
        <v>246</v>
      </c>
      <c r="C12" s="7" t="str">
        <f>Datos!A12</f>
        <v xml:space="preserve">Jdos. 1ª Instª. e Instr.                        </v>
      </c>
      <c r="D12" s="7"/>
      <c r="E12" s="1025">
        <f>IF(ISNUMBER(Datos!AQ12),Datos!AQ12," - ")</f>
        <v>1</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194</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223</v>
      </c>
      <c r="Y12" s="334">
        <f t="shared" si="0"/>
        <v>223</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364</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286</v>
      </c>
      <c r="AJ12" s="229" t="str">
        <f>IF(ISNUMBER(Datos!BW12),Datos!BW12," - ")</f>
        <v xml:space="preserve"> - </v>
      </c>
      <c r="AK12" s="228" t="str">
        <f>IF(ISNUMBER(Datos!BX12),Datos!BX12," - ")</f>
        <v xml:space="preserve"> - </v>
      </c>
      <c r="AL12" s="243">
        <f>IF(ISNUMBER(NºAsuntos!G12/NºAsuntos!E12),NºAsuntos!G12/NºAsuntos!E12," - ")</f>
        <v>0.91024287222808875</v>
      </c>
      <c r="AM12" s="260">
        <f>IF(ISNUMBER(((NºAsuntos!I12/NºAsuntos!G12)*11)/factor_trimestre),((NºAsuntos!I12/NºAsuntos!G12)*11)/factor_trimestre," - ")</f>
        <v>7.42691415313225</v>
      </c>
      <c r="AN12" s="244">
        <f>IF(ISNUMBER('Resol  Asuntos'!D12/NºAsuntos!G12),'Resol  Asuntos'!D12/NºAsuntos!G12," - ")</f>
        <v>0.33178654292343385</v>
      </c>
      <c r="AO12" s="245">
        <f>IF(ISNUMBER((NºAsuntos!C12+NºAsuntos!E12)/NºAsuntos!G12),(NºAsuntos!C12+NºAsuntos!E12)/NºAsuntos!G12," - ")</f>
        <v>1.660092807424594</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1</v>
      </c>
      <c r="F13" s="865">
        <f t="shared" si="3"/>
        <v>10</v>
      </c>
      <c r="G13" s="866">
        <f t="shared" si="3"/>
        <v>8</v>
      </c>
      <c r="H13" s="865">
        <f t="shared" si="3"/>
        <v>0</v>
      </c>
      <c r="I13" s="867">
        <f t="shared" si="3"/>
        <v>0</v>
      </c>
      <c r="J13" s="867">
        <f t="shared" si="3"/>
        <v>0</v>
      </c>
      <c r="K13" s="867">
        <f t="shared" si="3"/>
        <v>0</v>
      </c>
      <c r="L13" s="867">
        <f t="shared" si="3"/>
        <v>194</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6</v>
      </c>
      <c r="X13" s="867">
        <f t="shared" si="4"/>
        <v>223</v>
      </c>
      <c r="Y13" s="868">
        <f t="shared" si="4"/>
        <v>229</v>
      </c>
      <c r="Z13" s="868">
        <f t="shared" si="4"/>
        <v>0</v>
      </c>
      <c r="AA13" s="868">
        <f t="shared" si="4"/>
        <v>6</v>
      </c>
      <c r="AB13" s="868">
        <f t="shared" si="4"/>
        <v>364</v>
      </c>
      <c r="AC13" s="868">
        <f t="shared" si="4"/>
        <v>6</v>
      </c>
      <c r="AD13" s="868">
        <f t="shared" si="4"/>
        <v>0</v>
      </c>
      <c r="AE13" s="872">
        <f t="shared" si="4"/>
        <v>0</v>
      </c>
      <c r="AF13" s="865">
        <f t="shared" si="4"/>
        <v>0</v>
      </c>
      <c r="AG13" s="873">
        <f t="shared" si="4"/>
        <v>0</v>
      </c>
      <c r="AH13" s="870">
        <f t="shared" si="4"/>
        <v>0</v>
      </c>
      <c r="AI13" s="865">
        <f t="shared" si="4"/>
        <v>288</v>
      </c>
      <c r="AJ13" s="867">
        <f t="shared" si="4"/>
        <v>0</v>
      </c>
      <c r="AK13" s="870">
        <f>SUBTOTAL(9,AK9:AK12)</f>
        <v>0</v>
      </c>
      <c r="AL13" s="874">
        <f>IF(ISNUMBER(NºAsuntos!G13/NºAsuntos!E13),NºAsuntos!G13/NºAsuntos!E13," - ")</f>
        <v>0.9146469968387777</v>
      </c>
      <c r="AM13" s="874">
        <f>IF(ISNUMBER(((NºAsuntos!I13/NºAsuntos!G13)*11)/factor_trimestre),((NºAsuntos!I13/NºAsuntos!G13)*11)/factor_trimestre," - ")</f>
        <v>7.4516129032258061</v>
      </c>
      <c r="AN13" s="875">
        <f>IF(ISNUMBER('Resol  Asuntos'!D13/NºAsuntos!G13),'Resol  Asuntos'!D13/NºAsuntos!G13," - ")</f>
        <v>0.33179723502304148</v>
      </c>
      <c r="AO13" s="876">
        <f>IF(ISNUMBER((NºAsuntos!C13+NºAsuntos!E13)/NºAsuntos!G13),(NºAsuntos!C13+NºAsuntos!E13)/NºAsuntos!G13," - ")</f>
        <v>1.6601382488479262</v>
      </c>
      <c r="AP13" s="877" t="str">
        <f t="shared" si="2"/>
        <v xml:space="preserve"> - </v>
      </c>
      <c r="AQ13" s="877">
        <f>IF(ISNUMBER((H13-W13+K13)/(F13)),(H13-W13+K13)/(F13)," - ")</f>
        <v>-0.6</v>
      </c>
      <c r="AR13" s="878">
        <f>IF(ISNUMBER((Datos!P13-Datos!Q13)/(Datos!R13-Datos!P13+Datos!Q13)),(Datos!P13-Datos!Q13)/(Datos!R13-Datos!P13+Datos!Q13)," - ")</f>
        <v>-7.3791348600508899E-2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1</v>
      </c>
      <c r="B16" s="275" t="s">
        <v>396</v>
      </c>
      <c r="C16" s="160" t="str">
        <f>Datos!A16</f>
        <v xml:space="preserve">Jdos. 1ª Instª. e Instr.                        </v>
      </c>
      <c r="D16" s="160"/>
      <c r="E16" s="1025">
        <f>IF(ISNUMBER(Datos!AQ16),Datos!AQ16," - ")</f>
        <v>1</v>
      </c>
      <c r="F16" s="225">
        <f>IF(ISNUMBER(AA16+W16-Datos!J16-K16),AA16+W16-Datos!J16-K16," - ")</f>
        <v>124</v>
      </c>
      <c r="G16" s="333">
        <f>IF(ISNUMBER(IF(D_I="SI",Datos!I16,Datos!I16+Datos!AC16)),IF(D_I="SI",Datos!I16,Datos!I16+Datos!AC16)," - ")</f>
        <v>179</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46</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1141</v>
      </c>
      <c r="X16" s="226">
        <f>IF(ISNUMBER(Datos!Q16),Datos!Q16," - ")</f>
        <v>43</v>
      </c>
      <c r="Y16" s="334">
        <f t="shared" ref="Y16:Y17" si="7">SUM(W16:X16)</f>
        <v>1184</v>
      </c>
      <c r="Z16" s="335" t="str">
        <f>IF(ISNUMBER(Datos!CC16),Datos!CC16," - ")</f>
        <v xml:space="preserve"> - </v>
      </c>
      <c r="AA16" s="332">
        <f>IF(ISNUMBER(IF(D_I="SI",Datos!L16,Datos!L16+Datos!AF16)),IF(D_I="SI",Datos!L16,Datos!L16+Datos!AF16)," - ")</f>
        <v>167</v>
      </c>
      <c r="AB16" s="334">
        <f>IF(ISNUMBER(Datos!R16),Datos!R16," - ")</f>
        <v>43</v>
      </c>
      <c r="AC16" s="334">
        <f t="shared" si="6"/>
        <v>210</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164</v>
      </c>
      <c r="AJ16" s="231" t="str">
        <f>IF(ISNUMBER(Datos!BW16),Datos!BW16," - ")</f>
        <v xml:space="preserve"> - </v>
      </c>
      <c r="AK16" s="232" t="str">
        <f>IF(ISNUMBER(Datos!BX16),Datos!BX16," - ")</f>
        <v xml:space="preserve"> - </v>
      </c>
      <c r="AL16" s="243">
        <f>IF(ISNUMBER(NºAsuntos!G16/NºAsuntos!E16),NºAsuntos!G16/NºAsuntos!E16," - ")</f>
        <v>0.96368243243243246</v>
      </c>
      <c r="AM16" s="260">
        <f>IF(ISNUMBER(((NºAsuntos!I16/NºAsuntos!G16)*11)/factor_trimestre),((NºAsuntos!I16/NºAsuntos!G16)*11)/factor_trimestre," - ")</f>
        <v>1.6099912357581068</v>
      </c>
      <c r="AN16" s="244">
        <f>IF(ISNUMBER('Resol  Asuntos'!D16/NºAsuntos!G16),'Resol  Asuntos'!D16/NºAsuntos!G16," - ")</f>
        <v>0.14373356704645049</v>
      </c>
      <c r="AO16" s="245">
        <f>IF(ISNUMBER((NºAsuntos!C16+NºAsuntos!E16)/NºAsuntos!G16),(NºAsuntos!C16+NºAsuntos!E16)/NºAsuntos!G16," - ")</f>
        <v>1.1945661700262926</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13</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6</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71</v>
      </c>
      <c r="X17" s="226">
        <f>IF(ISNUMBER(Datos!Q17),Datos!Q17," - ")</f>
        <v>5</v>
      </c>
      <c r="Y17" s="334">
        <f t="shared" si="7"/>
        <v>76</v>
      </c>
      <c r="Z17" s="335" t="str">
        <f>IF(ISNUMBER(Datos!CC17),Datos!CC17," - ")</f>
        <v xml:space="preserve"> - </v>
      </c>
      <c r="AA17" s="332">
        <f>IF(ISNUMBER(Datos!L17),Datos!L17,"-")</f>
        <v>20</v>
      </c>
      <c r="AB17" s="334">
        <f>IF(ISNUMBER(Datos!R17),Datos!R17," - ")</f>
        <v>2</v>
      </c>
      <c r="AC17" s="334">
        <f t="shared" si="6"/>
        <v>22</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21</v>
      </c>
      <c r="AJ17" s="231" t="str">
        <f>IF(ISNUMBER(Datos!BW17),Datos!BW17," - ")</f>
        <v xml:space="preserve"> - </v>
      </c>
      <c r="AK17" s="232" t="str">
        <f>IF(ISNUMBER(Datos!BX17),Datos!BX17," - ")</f>
        <v xml:space="preserve"> - </v>
      </c>
      <c r="AL17" s="243">
        <f>IF(ISNUMBER(NºAsuntos!G17/NºAsuntos!E17),NºAsuntos!G17/NºAsuntos!E17," - ")</f>
        <v>0.92207792207792205</v>
      </c>
      <c r="AM17" s="260">
        <f>IF(ISNUMBER(((NºAsuntos!I17/NºAsuntos!G17)*11)/factor_trimestre),((NºAsuntos!I17/NºAsuntos!G17)*11)/factor_trimestre," - ")</f>
        <v>3.098591549295775</v>
      </c>
      <c r="AN17" s="244">
        <f>IF(ISNUMBER('Resol  Asuntos'!D17/NºAsuntos!G17),'Resol  Asuntos'!D17/NºAsuntos!G17," - ")</f>
        <v>0.29577464788732394</v>
      </c>
      <c r="AO17" s="245">
        <f>IF(ISNUMBER((NºAsuntos!C17+NºAsuntos!E17)/NºAsuntos!G17),(NºAsuntos!C17+NºAsuntos!E17)/NºAsuntos!G17," - ")</f>
        <v>1.267605633802817</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1</v>
      </c>
      <c r="F18" s="865">
        <f>SUBTOTAL(9,F14:F17)</f>
        <v>124</v>
      </c>
      <c r="G18" s="866">
        <f>SUBTOTAL(9,G15:G17)</f>
        <v>192</v>
      </c>
      <c r="H18" s="865">
        <f t="shared" ref="H18:O18" si="10">SUBTOTAL(9,H14:H17)</f>
        <v>0</v>
      </c>
      <c r="I18" s="867">
        <f t="shared" si="10"/>
        <v>0</v>
      </c>
      <c r="J18" s="867">
        <f t="shared" si="10"/>
        <v>0</v>
      </c>
      <c r="K18" s="867">
        <f t="shared" si="10"/>
        <v>0</v>
      </c>
      <c r="L18" s="867">
        <f t="shared" si="10"/>
        <v>52</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1212</v>
      </c>
      <c r="X18" s="867">
        <f t="shared" si="11"/>
        <v>48</v>
      </c>
      <c r="Y18" s="868">
        <f t="shared" si="11"/>
        <v>1260</v>
      </c>
      <c r="Z18" s="868">
        <f t="shared" si="11"/>
        <v>0</v>
      </c>
      <c r="AA18" s="868">
        <f t="shared" si="11"/>
        <v>187</v>
      </c>
      <c r="AB18" s="868">
        <f t="shared" si="11"/>
        <v>45</v>
      </c>
      <c r="AC18" s="868">
        <f t="shared" si="11"/>
        <v>232</v>
      </c>
      <c r="AD18" s="868">
        <f t="shared" si="11"/>
        <v>0</v>
      </c>
      <c r="AE18" s="872">
        <f t="shared" si="11"/>
        <v>0</v>
      </c>
      <c r="AF18" s="865">
        <f t="shared" si="11"/>
        <v>0</v>
      </c>
      <c r="AG18" s="873">
        <f t="shared" si="11"/>
        <v>0</v>
      </c>
      <c r="AH18" s="870">
        <f t="shared" si="11"/>
        <v>0</v>
      </c>
      <c r="AI18" s="865">
        <f t="shared" si="11"/>
        <v>185</v>
      </c>
      <c r="AJ18" s="867">
        <f t="shared" si="11"/>
        <v>0</v>
      </c>
      <c r="AK18" s="870">
        <f t="shared" si="11"/>
        <v>0</v>
      </c>
      <c r="AL18" s="874">
        <f>IF(ISNUMBER(NºAsuntos!G18/NºAsuntos!E18),NºAsuntos!G18/NºAsuntos!E18," - ")</f>
        <v>0.96114195083267251</v>
      </c>
      <c r="AM18" s="874">
        <f>IF(ISNUMBER(((NºAsuntos!I18/NºAsuntos!G18)*11)/factor_trimestre),((NºAsuntos!I18/NºAsuntos!G18)*11)/factor_trimestre," - ")</f>
        <v>1.6971947194719472</v>
      </c>
      <c r="AN18" s="875">
        <f>IF(ISNUMBER('Resol  Asuntos'!D18/NºAsuntos!G18),'Resol  Asuntos'!D18/NºAsuntos!G18," - ")</f>
        <v>0.15264026402640263</v>
      </c>
      <c r="AO18" s="876">
        <f>IF(ISNUMBER((NºAsuntos!C18+NºAsuntos!E18)/NºAsuntos!G18),(NºAsuntos!C18+NºAsuntos!E18)/NºAsuntos!G18," - ")</f>
        <v>1.1988448844884489</v>
      </c>
      <c r="AP18" s="877" t="str">
        <f t="shared" si="2"/>
        <v xml:space="preserve"> - </v>
      </c>
      <c r="AQ18" s="877">
        <f>IF(ISNUMBER((H18-W18+K18)/(F18)),(H18-W18+K18)/(F18)," - ")</f>
        <v>-9.7741935483870961</v>
      </c>
      <c r="AR18" s="878">
        <f>IF(ISNUMBER((Datos!P18-Datos!Q18)/(Datos!R18-Datos!P18+Datos!Q18)),(Datos!P18-Datos!Q18)/(Datos!R18-Datos!P18+Datos!Q18)," - ")</f>
        <v>9.7560975609756101E-2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2</v>
      </c>
      <c r="F19" s="820">
        <f t="shared" si="13"/>
        <v>134</v>
      </c>
      <c r="G19" s="821">
        <f t="shared" si="13"/>
        <v>200</v>
      </c>
      <c r="H19" s="820">
        <f t="shared" si="13"/>
        <v>0</v>
      </c>
      <c r="I19" s="822">
        <f t="shared" si="13"/>
        <v>0</v>
      </c>
      <c r="J19" s="822">
        <f t="shared" si="13"/>
        <v>0</v>
      </c>
      <c r="K19" s="881">
        <f t="shared" si="13"/>
        <v>0</v>
      </c>
      <c r="L19" s="822">
        <f t="shared" si="13"/>
        <v>246</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1218</v>
      </c>
      <c r="X19" s="821">
        <f t="shared" si="14"/>
        <v>271</v>
      </c>
      <c r="Y19" s="828">
        <f t="shared" si="14"/>
        <v>1489</v>
      </c>
      <c r="Z19" s="828">
        <f t="shared" si="14"/>
        <v>0</v>
      </c>
      <c r="AA19" s="828">
        <f t="shared" si="14"/>
        <v>193</v>
      </c>
      <c r="AB19" s="828">
        <f t="shared" si="14"/>
        <v>409</v>
      </c>
      <c r="AC19" s="828">
        <f t="shared" si="14"/>
        <v>238</v>
      </c>
      <c r="AD19" s="828">
        <f t="shared" si="14"/>
        <v>0</v>
      </c>
      <c r="AE19" s="830">
        <f t="shared" si="14"/>
        <v>0</v>
      </c>
      <c r="AF19" s="831">
        <f t="shared" si="14"/>
        <v>0</v>
      </c>
      <c r="AG19" s="832">
        <f t="shared" si="14"/>
        <v>0</v>
      </c>
      <c r="AH19" s="830">
        <f t="shared" si="14"/>
        <v>0</v>
      </c>
      <c r="AI19" s="820">
        <f t="shared" si="14"/>
        <v>473</v>
      </c>
      <c r="AJ19" s="820">
        <f t="shared" si="14"/>
        <v>0</v>
      </c>
      <c r="AK19" s="830">
        <f t="shared" si="14"/>
        <v>0</v>
      </c>
      <c r="AL19" s="884">
        <f>IF(ISNUMBER(NºAsuntos!G19/NºAsuntos!E19),NºAsuntos!G19/NºAsuntos!E19," - ")</f>
        <v>0.94117647058823528</v>
      </c>
      <c r="AM19" s="885">
        <f>IF(ISNUMBER(((NºAsuntos!I19/NºAsuntos!G19)*11)/factor_trimestre),((NºAsuntos!I19/NºAsuntos!G19)*11)/factor_trimestre," - ")</f>
        <v>4.0985576923076925</v>
      </c>
      <c r="AN19" s="885">
        <f>IF(ISNUMBER('Resol  Asuntos'!D19/NºAsuntos!G19),'Resol  Asuntos'!D19/NºAsuntos!G19," - ")</f>
        <v>0.22740384615384615</v>
      </c>
      <c r="AO19" s="886">
        <f>IF(ISNUMBER((NºAsuntos!C19+NºAsuntos!E19)/NºAsuntos!G19),(NºAsuntos!C19+NºAsuntos!E19)/NºAsuntos!G19," - ")</f>
        <v>1.3913461538461538</v>
      </c>
      <c r="AP19" s="887" t="str">
        <f t="shared" si="2"/>
        <v xml:space="preserve"> - </v>
      </c>
      <c r="AQ19" s="888">
        <f>IF(OR(ISNUMBER(FIND("01",Criterios!A8,1)),ISNUMBER(FIND("02",Criterios!A8,1)),ISNUMBER(FIND("03",Criterios!A8,1)),ISNUMBER(FIND("04",Criterios!A8,1))),(I19-W19+K19)/(F19-K19),(H19-W19+K19)/(F19-K19))</f>
        <v>-9.08955223880597</v>
      </c>
      <c r="AR19" s="889">
        <f>IF(ISNUMBER((Datos!P19-Datos!Q19)/(Datos!R19-Datos!P19+Datos!Q19)),(Datos!P19-Datos!Q19)/(Datos!R19-Datos!P19+Datos!Q19)," - ")</f>
        <v>-5.7603686635944701E-2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80</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0.52704627669472992</v>
      </c>
      <c r="F21" s="252">
        <f>IF(ISNUMBER(STDEV(F8:F18)),STDEV(F8:F18),"-")</f>
        <v>65.817930687617334</v>
      </c>
      <c r="G21" s="253">
        <f>IF(ISNUMBER(STDEV(G8:G18)),STDEV(G8:G18),"-")</f>
        <v>96.43909995432351</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630.30127716830782</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124.22023452991331</v>
      </c>
      <c r="AJ21" s="252">
        <f t="shared" si="18"/>
        <v>0</v>
      </c>
      <c r="AK21" s="254">
        <f t="shared" si="18"/>
        <v>0</v>
      </c>
      <c r="AL21" s="249">
        <f t="shared" si="18"/>
        <v>0.8436145322746581</v>
      </c>
      <c r="AM21" s="250">
        <f t="shared" si="18"/>
        <v>3.8222161063599738</v>
      </c>
      <c r="AN21" s="250">
        <f t="shared" si="18"/>
        <v>9.150841363337911E-2</v>
      </c>
      <c r="AO21" s="251">
        <f t="shared" si="18"/>
        <v>0.24346761704267922</v>
      </c>
      <c r="AP21" s="291" t="str">
        <f t="shared" si="18"/>
        <v>-</v>
      </c>
      <c r="AQ21" s="292">
        <f t="shared" si="18"/>
        <v>6.487134469982391</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28 feb. 2025</v>
      </c>
      <c r="D30" s="120"/>
    </row>
    <row r="32" spans="1:65">
      <c r="C32" s="1"/>
      <c r="D32" s="1"/>
    </row>
  </sheetData>
  <sheetProtection algorithmName="SHA-512" hashValue="6j3IQI5GcWsGqna1xIBM/0Rxy+42aQWdbQjKRIj8B+Ob68pxaY9dX2MvvgSAdtSxhSXrjpsajmNzhIgWEAB7pw==" saltValue="uYO93hV3VoZyN8u5Fr1CqQ=="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ANDALUCIA</v>
      </c>
      <c r="E2" s="263"/>
    </row>
    <row r="3" spans="2:20" ht="17.25" customHeight="1">
      <c r="C3" s="267"/>
      <c r="D3" s="262" t="str">
        <f>Criterios!A10 &amp;"  "&amp;Criterios!B10</f>
        <v>Provincias  JAEN</v>
      </c>
      <c r="E3" s="263"/>
    </row>
    <row r="4" spans="2:20" ht="17.25" customHeight="1" thickBot="1">
      <c r="D4" s="262" t="str">
        <f>Criterios!A11 &amp;"  "&amp;Criterios!B11</f>
        <v>Resumenes por Partidos Judiciales  BAEZA</v>
      </c>
      <c r="E4" s="263"/>
    </row>
    <row r="5" spans="2:20" ht="12.75" customHeight="1">
      <c r="B5" s="272"/>
      <c r="C5" s="1266" t="str">
        <f>"Año:  " &amp;Criterios!B5 &amp; "          Trimestre   " &amp;Criterios!D5 &amp; " al " &amp;Criterios!D6</f>
        <v>Año:  2024          Trimestre   1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3</v>
      </c>
      <c r="E10" s="348">
        <f>IF(ISNUMBER((Datos!J10-Datos!T10)/Datos!T10),(Datos!J10-Datos!T10)/Datos!T10," - ")</f>
        <v>-0.88235294117647056</v>
      </c>
      <c r="F10" s="348">
        <f>IF(ISNUMBER((Datos!K10-Datos!U10)/Datos!U10),(Datos!K10-Datos!U10)/Datos!U10," - ")</f>
        <v>-0.45454545454545453</v>
      </c>
      <c r="G10" s="349">
        <f>IF(ISNUMBER((Datos!L10-Datos!V10)/Datos!V10),(Datos!L10-Datos!V10)/Datos!V10," - ")</f>
        <v>-0.25</v>
      </c>
      <c r="H10" s="230">
        <f>IF(ISNUMBER((Datos!M10-Datos!W10)/Datos!W10),(Datos!M10-Datos!W10)/Datos!W10," - ")</f>
        <v>1</v>
      </c>
      <c r="I10" s="350">
        <f>IF(ISNUMBER((Tasas!C10-Datos!BE10)/Datos!BE10),(Tasas!C10-Datos!BE10)/Datos!BE10," - ")</f>
        <v>0.37499999999999994</v>
      </c>
      <c r="J10" s="349">
        <f>IF(ISNUMBER((Tasas!D10-Datos!BF10)/Datos!BF10),(Tasas!D10-Datos!BF10)/Datos!BF10," - ")</f>
        <v>2.6666666666666665</v>
      </c>
      <c r="K10" s="351">
        <f>IF(ISNUMBER((Tasas!E10-Datos!BG10)/Datos!BG10),(Tasas!E10-Datos!BG10)/Datos!BG10," - ")</f>
        <v>-3.5087719298245584E-2</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0.21702127659574469</v>
      </c>
      <c r="I12" s="350">
        <f>IF(ISNUMBER((Tasas!C12-Datos!BE12)/Datos!BE12),(Tasas!C12-Datos!BE12)/Datos!BE12," - ")</f>
        <v>0.20247933884297512</v>
      </c>
      <c r="J12" s="349">
        <f>IF(ISNUMBER((Tasas!D12-Datos!BF12)/Datos!BF12),(Tasas!D12-Datos!BF12)/Datos!BF12," - ")</f>
        <v>0.14399999999999991</v>
      </c>
      <c r="K12" s="351">
        <f>IF(ISNUMBER((Tasas!E12-Datos!BG12)/Datos!BG12),(Tasas!E12-Datos!BG12)/Datos!BG12," - ")</f>
        <v>0.2055602358887953</v>
      </c>
      <c r="M12" t="e">
        <f>IF(Monitorios="SI",Datos!CE12,0)</f>
        <v>#REF!</v>
      </c>
      <c r="N12" t="e">
        <f>IF(Monitorios="SI",Datos!CF12,0)</f>
        <v>#REF!</v>
      </c>
      <c r="O12" t="e">
        <f>IF(Monitorios="SI",Datos!CG12,0)</f>
        <v>#REF!</v>
      </c>
      <c r="P12" t="e">
        <f>IF(Monitorios="SI",Datos!CH12,0)</f>
        <v>#REF!</v>
      </c>
      <c r="Q12">
        <f>IF(J_V="SI",0,Datos!AG12)</f>
        <v>13</v>
      </c>
      <c r="R12">
        <f>IF(J_V="SI",0,Datos!AH12)</f>
        <v>90</v>
      </c>
      <c r="S12">
        <f>IF(J_V="SI",0,Datos!AI12)</f>
        <v>82</v>
      </c>
      <c r="T12">
        <f>IF(J_V="SI",0,Datos!AJ12)</f>
        <v>25</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0.22033898305084745</v>
      </c>
      <c r="I13" s="357">
        <f>IF(ISNUMBER((Tasas!C13-Datos!BE13)/Datos!BE13),(Tasas!C13-Datos!BE13)/Datos!BE13," - ")</f>
        <v>0.20200629425649089</v>
      </c>
      <c r="J13" s="355">
        <f>IF(ISNUMBER((Tasas!D13-Datos!BF13)/Datos!BF13),(Tasas!D13-Datos!BF13)/Datos!BF13," - ")</f>
        <v>0.15401986523950292</v>
      </c>
      <c r="K13" s="358">
        <f>IF(ISNUMBER((Tasas!E13-Datos!BG13)/Datos!BG13),(Tasas!E13-Datos!BG13)/Datos!BG13," - ")</f>
        <v>0.20174186670334956</v>
      </c>
      <c r="M13" t="e">
        <f>IF(Monitorios="SI",Datos!CE13,0)</f>
        <v>#REF!</v>
      </c>
      <c r="N13" t="e">
        <f>IF(Monitorios="SI",Datos!CF13,0)</f>
        <v>#REF!</v>
      </c>
      <c r="O13" t="e">
        <f>IF(Monitorios="SI",Datos!CG13,0)</f>
        <v>#REF!</v>
      </c>
      <c r="P13" t="e">
        <f>IF(Monitorios="SI",Datos!CH13,0)</f>
        <v>#REF!</v>
      </c>
      <c r="Q13">
        <f>IF(J_V="SI",0,Datos!AG13)</f>
        <v>13</v>
      </c>
      <c r="R13">
        <f>IF(J_V="SI",0,Datos!AH13)</f>
        <v>90</v>
      </c>
      <c r="S13">
        <f>IF(J_V="SI",0,Datos!AI13)</f>
        <v>82</v>
      </c>
      <c r="T13">
        <f>IF(J_V="SI",0,Datos!AJ13)</f>
        <v>25</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0.58407079646017701</v>
      </c>
      <c r="E16" s="348">
        <f>IF(ISNUMBER(
   IF(D_I="SI",(Datos!J16-Datos!T16)/Datos!T16,(Datos!J16+Datos!AD16-(Datos!T16+Datos!AL16))/(Datos!T16+Datos!AL16))
     ),IF(D_I="SI",(Datos!J16-Datos!T16)/Datos!T16,(Datos!J16+Datos!AD16-(Datos!T16+Datos!AL16))/(Datos!T16+Datos!AL16))," - ")</f>
        <v>0.21187308085977483</v>
      </c>
      <c r="F16" s="348">
        <f>IF(ISNUMBER(
   IF(D_I="SI",(Datos!K16-Datos!U16)/Datos!U16,(Datos!K16+Datos!AE16-(Datos!U16+Datos!AM16))/(Datos!U16+Datos!AM16))
     ),IF(D_I="SI",(Datos!K16-Datos!U16)/Datos!U16,(Datos!K16+Datos!AE16-(Datos!U16+Datos!AM16))/(Datos!U16+Datos!AM16))," - ")</f>
        <v>0.25246981339187707</v>
      </c>
      <c r="G16" s="349">
        <f>IF(ISNUMBER(
   IF(D_I="SI",(Datos!L16-Datos!V16)/Datos!V16,(Datos!L16+Datos!AF16-(Datos!V16+Datos!AN16))/(Datos!V16+Datos!AN16))
     ),IF(D_I="SI",(Datos!L16-Datos!V16)/Datos!V16,(Datos!L16+Datos!AF16-(Datos!V16+Datos!AN16))/(Datos!V16+Datos!AN16))," - ")</f>
        <v>-6.7039106145251395E-2</v>
      </c>
      <c r="H16" s="230">
        <f>IF(ISNUMBER((Datos!M16-Datos!W16)/Datos!W16),(Datos!M16-Datos!W16)/Datos!W16," - ")</f>
        <v>0.51851851851851849</v>
      </c>
      <c r="I16" s="350">
        <f>IF(ISNUMBER((Tasas!C16-Datos!BE16)/Datos!BE16),(Tasas!C16-Datos!BE16)/Datos!BE16," - ")</f>
        <v>-0.25510309000729536</v>
      </c>
      <c r="J16" s="349">
        <f>IF(ISNUMBER((Tasas!D16-Datos!BF16)/Datos!BF16),(Tasas!D16-Datos!BF16)/Datos!BF16," - ")</f>
        <v>0.21241925536404074</v>
      </c>
      <c r="K16" s="351">
        <f>IF(ISNUMBER((Tasas!E16-Datos!BG16)/Datos!BG16),(Tasas!E16-Datos!BG16)/Datos!BG16," - ")</f>
        <v>-1.6057056018784154E-3</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-7.1428571428571425E-2</v>
      </c>
      <c r="E17" s="348">
        <f>IF(ISNUMBER(
   IF(D_I="SI",(Datos!J17-Datos!T17)/Datos!T17,(Datos!J17+Datos!AD17-(Datos!T17+Datos!AL17))/(Datos!T17+Datos!AL17))
     ),IF(D_I="SI",(Datos!J17-Datos!T17)/Datos!T17,(Datos!J17+Datos!AD17-(Datos!T17+Datos!AL17))/(Datos!T17+Datos!AL17))," - ")</f>
        <v>-0.16304347826086957</v>
      </c>
      <c r="F17" s="348">
        <f>IF(ISNUMBER(
   IF(D_I="SI",(Datos!K17-Datos!U17)/Datos!U17,(Datos!K17+Datos!AE17-(Datos!U17+Datos!AM17))/(Datos!U17+Datos!AM17))
     ),IF(D_I="SI",(Datos!K17-Datos!U17)/Datos!U17,(Datos!K17+Datos!AE17-(Datos!U17+Datos!AM17))/(Datos!U17+Datos!AM17))," - ")</f>
        <v>-0.23655913978494625</v>
      </c>
      <c r="G17" s="349">
        <f>IF(ISNUMBER(
   IF(D_I="SI",(Datos!L17-Datos!V17)/Datos!V17,(Datos!L17+Datos!AF17-(Datos!V17+Datos!AN17))/(Datos!V17+Datos!AN17))
     ),IF(D_I="SI",(Datos!L17-Datos!V17)/Datos!V17,(Datos!L17+Datos!AF17-(Datos!V17+Datos!AN17))/(Datos!V17+Datos!AN17))," - ")</f>
        <v>0.53846153846153844</v>
      </c>
      <c r="H17" s="230">
        <f>IF(ISNUMBER((Datos!M17-Datos!W17)/Datos!W17),(Datos!M17-Datos!W17)/Datos!W17," - ")</f>
        <v>0.4</v>
      </c>
      <c r="I17" s="350">
        <f>IF(ISNUMBER((Tasas!C17-Datos!BE17)/Datos!BE17),(Tasas!C17-Datos!BE17)/Datos!BE17," - ")</f>
        <v>1.0151679306608887</v>
      </c>
      <c r="J17" s="349">
        <f>IF(ISNUMBER((Tasas!D17-Datos!BF17)/Datos!BF17),(Tasas!D17-Datos!BF17)/Datos!BF17," - ")</f>
        <v>0.83380281690140845</v>
      </c>
      <c r="K17" s="351">
        <f>IF(ISNUMBER((Tasas!E17-Datos!BG17)/Datos!BG17),(Tasas!E17-Datos!BG17)/Datos!BG17," - ")</f>
        <v>0.11214456550624499</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0.51181102362204722</v>
      </c>
      <c r="E18" s="354">
        <f>IF(ISNUMBER(
   IF(D_I="SI",(Datos!J18-Datos!T18)/Datos!T18,(Datos!J18+Datos!AD18-(Datos!T18+Datos!AL18))/(Datos!T18+Datos!AL18))
     ),IF(D_I="SI",(Datos!J18-Datos!T18)/Datos!T18,(Datos!J18+Datos!AD18-(Datos!T18+Datos!AL18))/(Datos!T18+Datos!AL18))," - ")</f>
        <v>0.17960710944808231</v>
      </c>
      <c r="F18" s="354">
        <f>IF(ISNUMBER(
   IF(D_I="SI",(Datos!K18-Datos!U18)/Datos!U18,(Datos!K18+Datos!AE18-(Datos!U18+Datos!AM18))/(Datos!U18+Datos!AM18))
     ),IF(D_I="SI",(Datos!K18-Datos!U18)/Datos!U18,(Datos!K18+Datos!AE18-(Datos!U18+Datos!AM18))/(Datos!U18+Datos!AM18))," - ")</f>
        <v>0.20717131474103587</v>
      </c>
      <c r="G18" s="355">
        <f>IF(ISNUMBER(
   IF(D_I="SI",(Datos!L18-Datos!V18)/Datos!V18,(Datos!L18+Datos!AF18-(Datos!V18+Datos!AN18))/(Datos!V18+Datos!AN18))
     ),IF(D_I="SI",(Datos!L18-Datos!V18)/Datos!V18,(Datos!L18+Datos!AF18-(Datos!V18+Datos!AN18))/(Datos!V18+Datos!AN18))," - ")</f>
        <v>-2.6041666666666668E-2</v>
      </c>
      <c r="H18" s="356">
        <f>IF(ISNUMBER((Datos!M18-Datos!W18)/Datos!W18),(Datos!M18-Datos!W18)/Datos!W18," - ")</f>
        <v>0.50406504065040647</v>
      </c>
      <c r="I18" s="357">
        <f>IF(ISNUMBER((Tasas!C18-Datos!BE18)/Datos!BE18),(Tasas!C18-Datos!BE18)/Datos!BE18," - ")</f>
        <v>-0.19318963146314627</v>
      </c>
      <c r="J18" s="355">
        <f>IF(ISNUMBER((Tasas!D18-Datos!BF18)/Datos!BF18),(Tasas!D18-Datos!BF18)/Datos!BF18," - ")</f>
        <v>0.24594166733746534</v>
      </c>
      <c r="K18" s="358">
        <f>IF(ISNUMBER((Tasas!E18-Datos!BG18)/Datos!BG18),(Tasas!E18-Datos!BG18)/Datos!BG18," - ")</f>
        <v>6.3881806240825168E-3</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0.49671772428884026</v>
      </c>
      <c r="E19" s="363">
        <f>IF(ISNUMBER(
   IF(J_V="SI",(Datos!J19-Datos!T19)/Datos!T19,(Datos!J19+Datos!Z19-(Datos!T19+Datos!AH19))/(Datos!T19+Datos!AH19))
     ),IF(J_V="SI",(Datos!J19-Datos!T19)/Datos!T19,(Datos!J19+Datos!Z19-(Datos!T19+Datos!AH19))/(Datos!T19+Datos!AH19))," - ")</f>
        <v>0.13624678663239073</v>
      </c>
      <c r="F19" s="363">
        <f>IF(ISNUMBER(
   IF(J_V="SI",(Datos!K19-Datos!U19)/Datos!U19,(Datos!K19+Datos!AA19-(Datos!U19+Datos!AI19))/(Datos!U19+Datos!AI19))
     ),IF(J_V="SI",(Datos!K19-Datos!U19)/Datos!U19,(Datos!K19+Datos!AA19-(Datos!U19+Datos!AI19))/(Datos!U19+Datos!AI19))," - ")</f>
        <v>0.108151305274374</v>
      </c>
      <c r="G19" s="364">
        <f>IF(ISNUMBER(
   IF(J_V="SI",(Datos!L19-Datos!V19)/Datos!V19,(Datos!L19+Datos!AB19-(Datos!V19+Datos!AJ19))/(Datos!V19+Datos!AJ19))
     ),IF(J_V="SI",(Datos!L19-Datos!V19)/Datos!V19,(Datos!L19+Datos!AB19-(Datos!V19+Datos!AJ19))/(Datos!V19+Datos!AJ19))," - ")</f>
        <v>0.13304093567251463</v>
      </c>
      <c r="H19" s="365">
        <f>IF(ISNUMBER((Datos!M19-Datos!W19)/Datos!W19),(Datos!M19-Datos!W19)/Datos!W19," - ")</f>
        <v>0.31754874651810583</v>
      </c>
      <c r="I19" s="362">
        <f>IF(ISNUMBER((Tasas!C19-Datos!BE19)/Datos!BE19),(Tasas!C19-Datos!BE19)/Datos!BE19," - ")</f>
        <v>2.2460498200629737E-2</v>
      </c>
      <c r="J19" s="363">
        <f>IF(ISNUMBER((Tasas!D19-Datos!BF19)/Datos!BF19),(Tasas!D19-Datos!BF19)/Datos!BF19," - ")</f>
        <v>0.14127545248868784</v>
      </c>
      <c r="K19" s="364">
        <f>IF(ISNUMBER((Tasas!E19-Datos!BG19)/Datos!BG19),(Tasas!E19-Datos!BG19)/Datos!BG19," - ")</f>
        <v>8.7242602318580678E-2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1.3612659882556954</v>
      </c>
      <c r="E21" s="278">
        <f t="shared" si="1"/>
        <v>0.50838869515484841</v>
      </c>
      <c r="F21" s="278">
        <f t="shared" si="1"/>
        <v>0.34440234375090389</v>
      </c>
      <c r="G21" s="279">
        <f t="shared" si="1"/>
        <v>0.34062189578350216</v>
      </c>
      <c r="H21" s="285">
        <f t="shared" si="1"/>
        <v>0.28822817815155283</v>
      </c>
      <c r="I21" s="277">
        <f t="shared" si="1"/>
        <v>0.45897289396667168</v>
      </c>
      <c r="J21" s="278">
        <f t="shared" si="1"/>
        <v>0.99360722342850838</v>
      </c>
      <c r="K21" s="279">
        <f t="shared" si="1"/>
        <v>0.10670442793382065</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28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eAddEEQ45JQIGvu3RP6t9vSi5xGVcRoQJb2u88ibdtACJIKPyn8VSiExcDVV5iSxiu+v/9Rywmi62Kv1NOqTMA==" saltValue="OsQojU++8NGKJKqZqpZXlA=="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2025-02-28T08:00:07Z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